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tos\COMPRAS\Processos 2025\Pregões 2025\Pregão 900--25- Serviço de Copeiragem\"/>
    </mc:Choice>
  </mc:AlternateContent>
  <bookViews>
    <workbookView xWindow="0" yWindow="0" windowWidth="28800" windowHeight="11595" tabRatio="944"/>
  </bookViews>
  <sheets>
    <sheet name="COPEIRAGEM" sheetId="6" r:id="rId1"/>
    <sheet name="INSUMOS" sheetId="9" r:id="rId2"/>
    <sheet name="RESUMO" sheetId="10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8" i="9" l="1"/>
  <c r="E30" i="9"/>
  <c r="E29" i="9"/>
  <c r="E31" i="9" l="1"/>
  <c r="J23" i="6" l="1"/>
  <c r="E2" i="9" l="1"/>
  <c r="E28" i="9"/>
  <c r="E8" i="9"/>
  <c r="E9" i="9"/>
  <c r="E10" i="9"/>
  <c r="E11" i="9"/>
  <c r="E12" i="9"/>
  <c r="E13" i="9"/>
  <c r="E14" i="9"/>
  <c r="E15" i="9"/>
  <c r="E16" i="9"/>
  <c r="E24" i="9" l="1"/>
  <c r="E25" i="9"/>
  <c r="E23" i="9"/>
  <c r="I44" i="6" l="1"/>
  <c r="E17" i="9" l="1"/>
  <c r="E18" i="9" l="1"/>
  <c r="C41" i="9"/>
  <c r="D41" i="9" s="1"/>
  <c r="G41" i="9" l="1"/>
  <c r="J58" i="6"/>
  <c r="G2" i="9" l="1"/>
  <c r="I134" i="6"/>
  <c r="I50" i="6"/>
  <c r="J99" i="6" s="1"/>
  <c r="J100" i="6" s="1"/>
  <c r="J105" i="6" s="1"/>
  <c r="J28" i="6"/>
  <c r="G4" i="9" l="1"/>
  <c r="E32" i="9"/>
  <c r="C44" i="9" s="1"/>
  <c r="J54" i="6"/>
  <c r="J63" i="6" s="1"/>
  <c r="J69" i="6" s="1"/>
  <c r="J24" i="6"/>
  <c r="J29" i="6" s="1"/>
  <c r="C38" i="9" l="1"/>
  <c r="D38" i="9" s="1"/>
  <c r="G5" i="9"/>
  <c r="J77" i="6"/>
  <c r="J78" i="6" s="1"/>
  <c r="J90" i="6"/>
  <c r="D44" i="9"/>
  <c r="E33" i="9"/>
  <c r="J79" i="6"/>
  <c r="J48" i="6"/>
  <c r="J46" i="6"/>
  <c r="J44" i="6"/>
  <c r="J42" i="6"/>
  <c r="J35" i="6"/>
  <c r="J141" i="6"/>
  <c r="J86" i="6"/>
  <c r="J49" i="6"/>
  <c r="J45" i="6"/>
  <c r="J34" i="6"/>
  <c r="J43" i="6"/>
  <c r="J76" i="6"/>
  <c r="J47" i="6"/>
  <c r="J112" i="6" l="1"/>
  <c r="J74" i="6"/>
  <c r="J75" i="6" s="1"/>
  <c r="J80" i="6" s="1"/>
  <c r="J143" i="6" s="1"/>
  <c r="G44" i="9"/>
  <c r="B47" i="9"/>
  <c r="D47" i="9" s="1"/>
  <c r="J36" i="6"/>
  <c r="J83" i="6"/>
  <c r="J50" i="6"/>
  <c r="J68" i="6" s="1"/>
  <c r="G45" i="9" l="1"/>
  <c r="G47" i="9" s="1"/>
  <c r="J110" i="6"/>
  <c r="J114" i="6" s="1"/>
  <c r="J145" i="6" s="1"/>
  <c r="J87" i="6"/>
  <c r="J91" i="6"/>
  <c r="J88" i="6"/>
  <c r="J89" i="6"/>
  <c r="J37" i="6"/>
  <c r="J38" i="6" s="1"/>
  <c r="J67" i="6" s="1"/>
  <c r="J70" i="6" s="1"/>
  <c r="J142" i="6" l="1"/>
  <c r="J92" i="6"/>
  <c r="J93" i="6" l="1"/>
  <c r="J94" i="6" s="1"/>
  <c r="J104" i="6" s="1"/>
  <c r="J106" i="6" s="1"/>
  <c r="J144" i="6" l="1"/>
  <c r="J146" i="6" s="1"/>
  <c r="J118" i="6"/>
  <c r="J119" i="6" s="1"/>
  <c r="J120" i="6" s="1"/>
  <c r="J121" i="6" s="1"/>
  <c r="J122" i="6" l="1"/>
  <c r="J126" i="6" l="1"/>
  <c r="J131" i="6"/>
  <c r="J125" i="6"/>
  <c r="J134" i="6" l="1"/>
  <c r="J132" i="6"/>
  <c r="J147" i="6" s="1"/>
  <c r="J148" i="6" s="1"/>
  <c r="C13" i="10" s="1"/>
  <c r="E13" i="10" s="1"/>
  <c r="G13" i="10" s="1"/>
  <c r="G15" i="10" s="1"/>
  <c r="G20" i="10" s="1"/>
  <c r="G18" i="10" l="1"/>
</calcChain>
</file>

<file path=xl/sharedStrings.xml><?xml version="1.0" encoding="utf-8"?>
<sst xmlns="http://schemas.openxmlformats.org/spreadsheetml/2006/main" count="322" uniqueCount="201">
  <si>
    <t>Nº do processo:</t>
  </si>
  <si>
    <t>Licitação nº:</t>
  </si>
  <si>
    <t>Dia: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</si>
  <si>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</si>
  <si>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</si>
  <si>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</si>
  <si>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</si>
  <si>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</si>
  <si>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</si>
  <si>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do Acordo, Convenção ou Dissídio Coletivo</t>
  </si>
  <si>
    <t>D</t>
  </si>
  <si>
    <t>Número de meses de execução contratual</t>
  </si>
  <si>
    <t>Dados para composição dos custos referente à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</si>
  <si>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</si>
  <si>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</si>
  <si>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</si>
  <si>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</si>
  <si>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1: Composição da Remuneração</t>
  </si>
  <si>
    <t xml:space="preserve">Composição da Remuneração </t>
  </si>
  <si>
    <t>Percentual
(R$)</t>
  </si>
  <si>
    <t xml:space="preserve">Valor
(R$) </t>
  </si>
  <si>
    <t xml:space="preserve">Adicional de Periculosidade </t>
  </si>
  <si>
    <t xml:space="preserve">Adicional Noturno </t>
  </si>
  <si>
    <t>Adicional de Hora Noturna Reduzida</t>
  </si>
  <si>
    <t>E</t>
  </si>
  <si>
    <t xml:space="preserve">Adicional de Hora Extra no Feriado Trabalhado </t>
  </si>
  <si>
    <t xml:space="preserve">Total </t>
  </si>
  <si>
    <t>Módulo 2 – Encargos e Benefícios Anuais, Mensais e Diários</t>
  </si>
  <si>
    <t>Submódulo 2.1 – 13º (décimo terceiro) Salário e Adicional de Férias</t>
  </si>
  <si>
    <t>2.1</t>
  </si>
  <si>
    <t>Valor (R$)</t>
  </si>
  <si>
    <t>Total</t>
  </si>
  <si>
    <t>Incidência dos encargos do Submódulo 2.2 sobre o total do Submódulo 2.1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</si>
  <si>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</si>
  <si>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</si>
  <si>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</si>
  <si>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</si>
  <si>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Valor
 (R$)</t>
  </si>
  <si>
    <t>INSS</t>
  </si>
  <si>
    <t>Salário Educação</t>
  </si>
  <si>
    <t>RAT =</t>
  </si>
  <si>
    <t xml:space="preserve"> FAP =</t>
  </si>
  <si>
    <t>SESC ou SESI</t>
  </si>
  <si>
    <t>SENAC ou SENAI</t>
  </si>
  <si>
    <t>F</t>
  </si>
  <si>
    <t>SEBRAE</t>
  </si>
  <si>
    <t>G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</si>
  <si>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</si>
  <si>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</si>
  <si>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</si>
  <si>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</si>
  <si>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</si>
  <si>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</si>
  <si>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 xml:space="preserve">      A.1) Valor da passagem do transporte coletivo no município de prestação dos serviços: </t>
  </si>
  <si>
    <t>-</t>
  </si>
  <si>
    <t xml:space="preserve">      A.2) Quantidade de passagens por dia por empregado:</t>
  </si>
  <si>
    <t xml:space="preserve">      A.3) Quantidade de dias do mês de recebimento de passagens</t>
  </si>
  <si>
    <t xml:space="preserve">      B.2) Quantidade de dias do mês de recebimento de auxílio-alimentação</t>
  </si>
  <si>
    <t>Quadro-Resumo do Módulo 2 – Encargos e Benefícios Anuais, Mensais e Diários</t>
  </si>
  <si>
    <t>Encargos e Benefícios Anuais, Mensais e Diários</t>
  </si>
  <si>
    <t>13º (décimo terceiro) Salário e Adicional de Férias</t>
  </si>
  <si>
    <t>Módulo 3 - Provisão para Rescisão</t>
  </si>
  <si>
    <t>Provisão para Rescisão</t>
  </si>
  <si>
    <t>Valor  (R$)</t>
  </si>
  <si>
    <t>Incidência do FGTS sobre o Aviso Prévio Indenizado</t>
  </si>
  <si>
    <t xml:space="preserve">Incidência dos encargos do Submódulo 2.2 sobre o Aviso Prévio Trabalhado         </t>
  </si>
  <si>
    <t>Módulo 4 - Custo de Reposição do Profissional Ausente</t>
  </si>
  <si>
    <t>Base de cálculo para o Custo de Reposição do Profissional Ausente (substituto): BCCPA = Rem + 13º + Férias + 1/3Férias</t>
  </si>
  <si>
    <t>4.1</t>
  </si>
  <si>
    <t>Substituto nas Ausências Legais</t>
  </si>
  <si>
    <t>Subsitituto na cobertura de Férias</t>
  </si>
  <si>
    <t>Incidência dos encargos do Submódulo 2.2 sobre o  total do Submódulo 4.1</t>
  </si>
  <si>
    <t>Submódulo 4.2 – Subistituto na Intrajornada</t>
  </si>
  <si>
    <t xml:space="preserve">4.2 </t>
  </si>
  <si>
    <t>Substituto na Intrajornada</t>
  </si>
  <si>
    <t>Subsitituto na cobertura de Intervalo para repouso ou alimentação</t>
  </si>
  <si>
    <t>Incidência dos encargos do Submódulo 2.2 sobre o total do Submódulo 4.2</t>
  </si>
  <si>
    <t>Quadro-Resumo do Módulo 4 – Custo de Reposição do Profissional Ausente</t>
  </si>
  <si>
    <t>Custo de Reposição do Profissional Ausente</t>
  </si>
  <si>
    <t>Ausências Legais</t>
  </si>
  <si>
    <t>4.2</t>
  </si>
  <si>
    <t>Intrajornada</t>
  </si>
  <si>
    <t>Módulo 5 – Insumos Diversos</t>
  </si>
  <si>
    <t>Insumos diversos</t>
  </si>
  <si>
    <t xml:space="preserve">Uniformes </t>
  </si>
  <si>
    <t xml:space="preserve">Materiais </t>
  </si>
  <si>
    <t xml:space="preserve">Equipamentos </t>
  </si>
  <si>
    <t xml:space="preserve">Outros (especificar) </t>
  </si>
  <si>
    <t>Módulo 6 -  Custos Indiretos, Lucro e Tributos</t>
  </si>
  <si>
    <t xml:space="preserve">Custos Indiretos, Lucro e Tributos </t>
  </si>
  <si>
    <t>Valor
(R$)</t>
  </si>
  <si>
    <t>BASE DE CÁLCULO DOS CUSTOS INDIRETOS</t>
  </si>
  <si>
    <t>Custos Indiretos</t>
  </si>
  <si>
    <t>BASE DE CÁLCULO DO LUCRO</t>
  </si>
  <si>
    <t>Lucro</t>
  </si>
  <si>
    <t>BASE DE CÁLCULO DOS TRIBUTOS</t>
  </si>
  <si>
    <t>Tributos</t>
  </si>
  <si>
    <t>C.1    Tributos Federais (especificar)</t>
  </si>
  <si>
    <t xml:space="preserve"> c) IRPJ</t>
  </si>
  <si>
    <t xml:space="preserve"> d) CSLL</t>
  </si>
  <si>
    <t>C.2   Tributos Estaduais (especificar)</t>
  </si>
  <si>
    <t>C.3   Tributos Municipais (especificar):</t>
  </si>
  <si>
    <t xml:space="preserve">Percentual Total e Valor Total de Tributos  </t>
  </si>
  <si>
    <t>Cálculo dos Tributos</t>
  </si>
  <si>
    <t xml:space="preserve">                  Base de Cálculo para os Tributos</t>
  </si>
  <si>
    <t xml:space="preserve"> = ( ---------------------------------------------------------------- ) x Alíquota do Tributo</t>
  </si>
  <si>
    <t xml:space="preserve">         1 - (Total de Tributos em % dividido por 100)</t>
  </si>
  <si>
    <t xml:space="preserve">
2. QUADRO-RESUMO DO CUSTO POR EMPREGADO
</t>
  </si>
  <si>
    <t xml:space="preserve">                          Mão de obra vinculada à execução contratual (valor por empregado)</t>
  </si>
  <si>
    <t>Módulo 1 - Composição da Remuneração</t>
  </si>
  <si>
    <t>Módulo 3 – Provisão para Rescisão</t>
  </si>
  <si>
    <t>Módulo 4 – Custo de Reposição do Profissional Ausente</t>
  </si>
  <si>
    <t xml:space="preserve">Módulo 5 - Insumo Diversos </t>
  </si>
  <si>
    <t>Subtotal (A + B + C + D + E)</t>
  </si>
  <si>
    <t>Módulo 6 - Custos Indiretos, Lucro e Tributos</t>
  </si>
  <si>
    <t>Valor Total por Empregado</t>
  </si>
  <si>
    <t xml:space="preserve">Adicional de Insalubridade </t>
  </si>
  <si>
    <t>RAT x FAP</t>
  </si>
  <si>
    <t xml:space="preserve">  a) ISS               (Lei Ordinária 5.147/2005 - Prefeitura de Pelotas/RS</t>
  </si>
  <si>
    <t>EQUIPAMENTOS</t>
  </si>
  <si>
    <t>Unidade</t>
  </si>
  <si>
    <t>Quantidade a disponibilizar</t>
  </si>
  <si>
    <t>Depreciação (em meses)</t>
  </si>
  <si>
    <t>Quantidade Anual</t>
  </si>
  <si>
    <t>Valor Unitário</t>
  </si>
  <si>
    <t>Custo Anual</t>
  </si>
  <si>
    <t>pç</t>
  </si>
  <si>
    <t>QUADRO RESUMO</t>
  </si>
  <si>
    <t>CUSTO ANUAL</t>
  </si>
  <si>
    <t>CUSTO MENSAL</t>
  </si>
  <si>
    <t>Custo Mensal por Funcionário</t>
  </si>
  <si>
    <t>UNIFORMES</t>
  </si>
  <si>
    <t>TOTAIS</t>
  </si>
  <si>
    <t>Quantidade da mão de obra alocada na prestação dos serviços</t>
  </si>
  <si>
    <t>xxxx</t>
  </si>
  <si>
    <t xml:space="preserve"> VALOR MENSAL DOS SERVIÇOS</t>
  </si>
  <si>
    <t>Tipo de serviço (A)</t>
  </si>
  <si>
    <t xml:space="preserve">Valor Proposto  por Empregado  (B) </t>
  </si>
  <si>
    <t xml:space="preserve">Qtde. de Empregados por Posto (C) </t>
  </si>
  <si>
    <t xml:space="preserve">Valor Proposto  por Posto  (D) = (B x C) </t>
  </si>
  <si>
    <t xml:space="preserve">Qtde. de  Postos  (E) </t>
  </si>
  <si>
    <t>I</t>
  </si>
  <si>
    <t>Valor Mensal dos Serviços</t>
  </si>
  <si>
    <t xml:space="preserve">QUADRO DEMONSTRATIVO DO VALOR GLOBAL DA PROPOSTA </t>
  </si>
  <si>
    <t>Valor mensal do serviço</t>
  </si>
  <si>
    <t>Número de meses do Contrato</t>
  </si>
  <si>
    <r>
      <rPr>
        <b/>
        <sz val="10"/>
        <rFont val="Arial"/>
        <family val="2"/>
        <charset val="1"/>
      </rPr>
      <t>Valor Global do Proposta</t>
    </r>
    <r>
      <rPr>
        <sz val="10"/>
        <rFont val="Arial"/>
        <family val="2"/>
        <charset val="1"/>
      </rPr>
      <t xml:space="preserve"> (Valor mensal do serviço x  nº de meses do contrato).</t>
    </r>
  </si>
  <si>
    <t>MATERIAIS</t>
  </si>
  <si>
    <t>Pelotas/RS</t>
  </si>
  <si>
    <t>Seguro contra riscos de acidente de trabalho</t>
  </si>
  <si>
    <t xml:space="preserve">Plano de Benefício Social Familiar </t>
  </si>
  <si>
    <t>1. MÓDULOS 
Mão de obra
Mão de obra vinculada à execução contratual</t>
  </si>
  <si>
    <t>Ponto eletrônico</t>
  </si>
  <si>
    <t>CUSTO ANUAL DOS MATERIAIS PARA 1 FUNCIONÁRIO(A)</t>
  </si>
  <si>
    <t>CUSTO MENSAL DOS MATERIAIS PARA 1 FUNCIONÁRIO(A)</t>
  </si>
  <si>
    <t xml:space="preserve">EQUIPAMENTOS - </t>
  </si>
  <si>
    <t xml:space="preserve">MATERIAIS - </t>
  </si>
  <si>
    <t>CUSTO ANUAL DOS UNIFORMES PARA 1 FUNCIONÁRIO</t>
  </si>
  <si>
    <t>CUSTO MENSAL DOS UNIFORMES PARA 1 FUNCIONÁRIO</t>
  </si>
  <si>
    <t>QUADRO-RESUMO DOS SERVIÇOS - Regime de Tributação: Lucro Real</t>
  </si>
  <si>
    <t xml:space="preserve">Valor Mensal do Serviço (F) = (D x E) </t>
  </si>
  <si>
    <r>
      <t xml:space="preserve">Auxílio-Refeição/Alimentação </t>
    </r>
    <r>
      <rPr>
        <b/>
        <sz val="11"/>
        <color rgb="FFFF0000"/>
        <rFont val="Arial"/>
        <family val="2"/>
        <charset val="1"/>
      </rPr>
      <t/>
    </r>
  </si>
  <si>
    <r>
      <t xml:space="preserve">Aviso Prévio Indenizado     </t>
    </r>
    <r>
      <rPr>
        <b/>
        <sz val="9"/>
        <color rgb="FFFF0000"/>
        <rFont val="Arial"/>
        <family val="2"/>
        <charset val="1"/>
      </rPr>
      <t>Aviso-prévio indenizado     Cálculo do valor = {Rem/12 + 13º/12=(Rem/12)/12 + Férias/12=(Rem/12)/12 + (1/3xFérias)/12=1/3x[(Rem/12)/12]} x (30/30=1) x 1% de rotatividade anual - Os reflexos de 13º, F e 1/3F são referentes a 1 mês de APInd - Na prorrogação, poderão ser considerados 3 dias conforme Lei nº 12.506/2011, dependendo da análise do nº de ocorrências deste evento no período</t>
    </r>
  </si>
  <si>
    <r>
      <t xml:space="preserve">Multa do FGTS e contribuição social sobre o Aviso Prévio Indenizado </t>
    </r>
    <r>
      <rPr>
        <b/>
        <sz val="9"/>
        <color rgb="FFFF0000"/>
        <rFont val="Arial"/>
        <family val="2"/>
        <charset val="1"/>
      </rPr>
      <t>Obrigatória a cotação de 0,24% sobre o valor do Módulo 1 – Composição da Remuneração, conforme Anexo XII da IN Seges nº 5/2017 (0,24% + 4,76% = 5,0%)</t>
    </r>
  </si>
  <si>
    <r>
      <t xml:space="preserve">Aviso Prévio Trabalhado                 (negociar extinção/redução na 1ª prorrogação)
</t>
    </r>
    <r>
      <rPr>
        <b/>
        <sz val="9"/>
        <color rgb="FFFF0000"/>
        <rFont val="Arial"/>
        <family val="2"/>
        <charset val="1"/>
      </rPr>
      <t>Cálculo do valor=  Estudos CNJ – Resolução 98/2009</t>
    </r>
  </si>
  <si>
    <r>
      <t xml:space="preserve">Multa do FGTS e contribuição social sobre o Aviso Prévio Trabalhado </t>
    </r>
    <r>
      <rPr>
        <b/>
        <sz val="9"/>
        <color rgb="FFFF0000"/>
        <rFont val="Arial"/>
        <family val="2"/>
        <charset val="1"/>
      </rPr>
      <t>Obrigatória a cotação de 4,76% sobre o valor do Módulo 1 – Composição da Remuneração, conforme Anexo XII da IN Seges nº 5/2017 (4,76%+0,24% = 5,0%)</t>
    </r>
  </si>
  <si>
    <r>
      <t xml:space="preserve">Subsitituto na cobertura de Ausências Legais                </t>
    </r>
    <r>
      <rPr>
        <b/>
        <sz val="9"/>
        <color rgb="FFFF0000"/>
        <rFont val="Arial"/>
        <family val="2"/>
        <charset val="1"/>
      </rPr>
      <t>Cálculo do valor = [(</t>
    </r>
    <r>
      <rPr>
        <b/>
        <sz val="9"/>
        <color rgb="FF0000FF"/>
        <rFont val="Arial"/>
        <family val="2"/>
        <charset val="1"/>
      </rPr>
      <t>BCCPA</t>
    </r>
    <r>
      <rPr>
        <b/>
        <sz val="9"/>
        <color rgb="FFFF0000"/>
        <rFont val="Arial"/>
        <family val="2"/>
        <charset val="1"/>
      </rPr>
      <t>/30)x2,96dias]/12</t>
    </r>
  </si>
  <si>
    <r>
      <t xml:space="preserve">Subsitituto na cobertura de Licença-Paternidade    </t>
    </r>
    <r>
      <rPr>
        <b/>
        <sz val="9"/>
        <color rgb="FFFF0000"/>
        <rFont val="Arial"/>
        <family val="2"/>
        <charset val="1"/>
      </rPr>
      <t>Cálculo do valor = {[(</t>
    </r>
    <r>
      <rPr>
        <b/>
        <sz val="9"/>
        <color rgb="FF0000FF"/>
        <rFont val="Arial"/>
        <family val="2"/>
        <charset val="1"/>
      </rPr>
      <t>BCCPA</t>
    </r>
    <r>
      <rPr>
        <b/>
        <sz val="9"/>
        <color rgb="FFFF0000"/>
        <rFont val="Arial"/>
        <family val="2"/>
        <charset val="1"/>
      </rPr>
      <t>/30)x5dias]/12}x1,5%</t>
    </r>
  </si>
  <si>
    <r>
      <t xml:space="preserve">Subsitituto na cobertura de Ausência por acidente de trabalho </t>
    </r>
    <r>
      <rPr>
        <b/>
        <sz val="9"/>
        <color rgb="FFFF0000"/>
        <rFont val="Arial"/>
        <family val="2"/>
        <charset val="1"/>
      </rPr>
      <t>Cálculo do valor  = {[(</t>
    </r>
    <r>
      <rPr>
        <b/>
        <sz val="9"/>
        <color rgb="FF0000FF"/>
        <rFont val="Arial"/>
        <family val="2"/>
        <charset val="1"/>
      </rPr>
      <t>BCCPA</t>
    </r>
    <r>
      <rPr>
        <b/>
        <sz val="9"/>
        <color rgb="FFFF0000"/>
        <rFont val="Arial"/>
        <family val="2"/>
        <charset val="1"/>
      </rPr>
      <t>/30)x15dias]/12}x0,78%</t>
    </r>
  </si>
  <si>
    <r>
      <t xml:space="preserve">Subsitituto na cobertura de Afastamento Maternidade   </t>
    </r>
    <r>
      <rPr>
        <b/>
        <sz val="9"/>
        <color rgb="FFFF0000"/>
        <rFont val="Arial"/>
        <family val="2"/>
        <charset val="1"/>
      </rPr>
      <t>Cálculo do valor = {[(</t>
    </r>
    <r>
      <rPr>
        <b/>
        <sz val="9"/>
        <color rgb="FF0000FF"/>
        <rFont val="Arial"/>
        <family val="2"/>
        <charset val="1"/>
      </rPr>
      <t>Rem</t>
    </r>
    <r>
      <rPr>
        <b/>
        <sz val="9"/>
        <color rgb="FFFF0000"/>
        <rFont val="Arial"/>
        <family val="2"/>
        <charset val="1"/>
      </rPr>
      <t>+1/3</t>
    </r>
    <r>
      <rPr>
        <b/>
        <sz val="9"/>
        <color rgb="FF0000FF"/>
        <rFont val="Arial"/>
        <family val="2"/>
        <charset val="1"/>
      </rPr>
      <t>Rem</t>
    </r>
    <r>
      <rPr>
        <b/>
        <sz val="9"/>
        <color rgb="FFFF0000"/>
        <rFont val="Arial"/>
        <family val="2"/>
        <charset val="1"/>
      </rPr>
      <t>)/12]x(4/12)}x2%</t>
    </r>
  </si>
  <si>
    <r>
      <t xml:space="preserve">Subsitituto na cobertura de Ausência por doença              </t>
    </r>
    <r>
      <rPr>
        <b/>
        <sz val="9"/>
        <color rgb="FFFF0000"/>
        <rFont val="Arial"/>
        <family val="2"/>
        <charset val="1"/>
      </rPr>
      <t>Cálculo do valor = [(</t>
    </r>
    <r>
      <rPr>
        <b/>
        <sz val="9"/>
        <color rgb="FF0000FF"/>
        <rFont val="Arial"/>
        <family val="2"/>
        <charset val="1"/>
      </rPr>
      <t>BCCPA</t>
    </r>
    <r>
      <rPr>
        <b/>
        <sz val="9"/>
        <color rgb="FFFF0000"/>
        <rFont val="Arial"/>
        <family val="2"/>
        <charset val="1"/>
      </rPr>
      <t>)/30)x5dias]/12</t>
    </r>
  </si>
  <si>
    <r>
      <t>13º (décimo terceiro) Salário</t>
    </r>
    <r>
      <rPr>
        <b/>
        <sz val="9"/>
        <color rgb="FF000000"/>
        <rFont val="Arial"/>
        <family val="2"/>
        <charset val="1"/>
      </rPr>
      <t xml:space="preserve"> </t>
    </r>
    <r>
      <rPr>
        <b/>
        <sz val="9"/>
        <color rgb="FFFF0000"/>
        <rFont val="Arial"/>
        <family val="2"/>
        <charset val="1"/>
      </rPr>
      <t>Obrigatória a cotação de 8,33% sobre o valor do Módulo 1 – Composição da Remuneração, conforme Anexo XII da IN 5/17</t>
    </r>
  </si>
  <si>
    <r>
      <t>13º (décimo terceiro) Salário</t>
    </r>
    <r>
      <rPr>
        <b/>
        <sz val="9"/>
        <color rgb="FFFF0000"/>
        <rFont val="Arial"/>
        <family val="2"/>
        <charset val="1"/>
      </rPr>
      <t xml:space="preserve"> </t>
    </r>
    <r>
      <rPr>
        <b/>
        <sz val="9"/>
        <rFont val="Arial"/>
        <family val="2"/>
        <charset val="1"/>
      </rPr>
      <t>e Adicional de Férias</t>
    </r>
  </si>
  <si>
    <r>
      <t>Adicional de Férias</t>
    </r>
    <r>
      <rPr>
        <b/>
        <sz val="9"/>
        <color rgb="FF009900"/>
        <rFont val="Arial"/>
        <family val="2"/>
        <charset val="1"/>
      </rPr>
      <t xml:space="preserve"> </t>
    </r>
    <r>
      <rPr>
        <b/>
        <sz val="9"/>
        <color rgb="FFFF0000"/>
        <rFont val="Arial"/>
        <family val="2"/>
        <charset val="1"/>
      </rPr>
      <t>Obrigatória a cotação de 3,025% sobre o valor do Módulo 1 – Composição da Remuneração, conforme Anexo XII da IN 5/17 (Férias + Adicional = 9,075% + 3,025% = 12,10%)</t>
    </r>
  </si>
  <si>
    <r>
      <t xml:space="preserve">Transporte                                              </t>
    </r>
    <r>
      <rPr>
        <b/>
        <sz val="9"/>
        <color rgb="FFFF0000"/>
        <rFont val="Arial"/>
        <family val="2"/>
        <charset val="1"/>
      </rPr>
      <t xml:space="preserve"> Cálculo do valor: [(2xVTx21) – (6%xSB)]</t>
    </r>
  </si>
  <si>
    <r>
      <t xml:space="preserve">  a) Cofins  </t>
    </r>
    <r>
      <rPr>
        <sz val="9"/>
        <color rgb="FFFF0000"/>
        <rFont val="Arial"/>
        <family val="2"/>
        <charset val="1"/>
      </rPr>
      <t>(depende do regime de tributação - utilizada a hipótese de Lucro Presumido)</t>
    </r>
  </si>
  <si>
    <r>
      <t xml:space="preserve">  b) PIS </t>
    </r>
    <r>
      <rPr>
        <sz val="9"/>
        <color rgb="FFFF0000"/>
        <rFont val="Arial"/>
        <family val="2"/>
        <charset val="1"/>
      </rPr>
      <t>(depende do regime de tributação - utilizada a hipótese de Lucro Presumido)</t>
    </r>
  </si>
  <si>
    <t>xxxxxxxxxxxx</t>
  </si>
  <si>
    <t xml:space="preserve">UNIFORMES  </t>
  </si>
  <si>
    <t>unidade</t>
  </si>
  <si>
    <t xml:space="preserve">      B.1) Valor do auxílio-lanche (): </t>
  </si>
  <si>
    <t xml:space="preserve">CUSTO ANUAL DOS EQUIPAMENTOS  </t>
  </si>
  <si>
    <t xml:space="preserve">CUSTO MENSAL DOS EQUIPAMENTOS </t>
  </si>
  <si>
    <t>Salário Normativo da Categoria Profissional - para a jornada de 36 h/sem</t>
  </si>
  <si>
    <t>COPEIRO(A) - Regime de Tributação: Lucro REAL</t>
  </si>
  <si>
    <r>
      <t xml:space="preserve">ANEXO 1 DO Termo de Referência  </t>
    </r>
    <r>
      <rPr>
        <b/>
        <sz val="12"/>
        <color rgb="FFFF0000"/>
        <rFont val="Arial"/>
        <family val="2"/>
        <charset val="1"/>
      </rPr>
      <t xml:space="preserve">do Pregão nº xx/2025  –  </t>
    </r>
    <r>
      <rPr>
        <b/>
        <sz val="12"/>
        <color rgb="FF0000FF"/>
        <rFont val="Arial"/>
        <family val="2"/>
        <charset val="1"/>
      </rPr>
      <t xml:space="preserve">CONTA VINCULADA
</t>
    </r>
    <r>
      <rPr>
        <b/>
        <sz val="12"/>
        <color rgb="FF000000"/>
        <rFont val="Arial"/>
        <family val="2"/>
        <charset val="1"/>
      </rPr>
      <t xml:space="preserve">PLANILHA DE CUSTOS E FORMAÇÃO DE PREÇOS </t>
    </r>
    <r>
      <rPr>
        <b/>
        <sz val="12"/>
        <color rgb="FF800080"/>
        <rFont val="Arial"/>
        <family val="2"/>
        <charset val="1"/>
      </rPr>
      <t xml:space="preserve"> </t>
    </r>
    <r>
      <rPr>
        <b/>
        <sz val="12"/>
        <color rgb="FFFF0000"/>
        <rFont val="Arial"/>
        <family val="2"/>
      </rPr>
      <t>(Orçamentária)</t>
    </r>
  </si>
  <si>
    <t>SINDASSEIO/RS 000024/2025</t>
  </si>
  <si>
    <t>Copeiro(a)</t>
  </si>
  <si>
    <r>
      <t xml:space="preserve">Salário-Base   </t>
    </r>
    <r>
      <rPr>
        <b/>
        <sz val="9"/>
        <color rgb="FFFF0000"/>
        <rFont val="Arial"/>
        <family val="2"/>
        <charset val="1"/>
      </rPr>
      <t xml:space="preserve"> (valor para telefonista - 44h/semana)</t>
    </r>
  </si>
  <si>
    <r>
      <t xml:space="preserve">ANEXO ----  </t>
    </r>
    <r>
      <rPr>
        <b/>
        <sz val="14"/>
        <color rgb="FFFF0000"/>
        <rFont val="Arial"/>
        <family val="2"/>
        <charset val="1"/>
      </rPr>
      <t xml:space="preserve">do Pregão nº xx/2025 – </t>
    </r>
    <r>
      <rPr>
        <b/>
        <sz val="14"/>
        <color rgb="FF0000FF"/>
        <rFont val="Arial"/>
        <family val="2"/>
        <charset val="1"/>
      </rPr>
      <t xml:space="preserve">CONTA VINCULADA
</t>
    </r>
    <r>
      <rPr>
        <b/>
        <sz val="14"/>
        <color rgb="FF000000"/>
        <rFont val="Arial"/>
        <family val="2"/>
        <charset val="1"/>
      </rPr>
      <t xml:space="preserve">MODELO DE PLANILHA DE CUSTOS E FORMAÇÃO DE PREÇOS </t>
    </r>
    <r>
      <rPr>
        <b/>
        <sz val="14"/>
        <color rgb="FF800080"/>
        <rFont val="Arial"/>
        <family val="2"/>
        <charset val="1"/>
      </rPr>
      <t xml:space="preserve"> </t>
    </r>
    <r>
      <rPr>
        <b/>
        <sz val="14"/>
        <rFont val="Arial"/>
        <family val="2"/>
        <charset val="1"/>
      </rPr>
      <t xml:space="preserve"> </t>
    </r>
  </si>
  <si>
    <t>par</t>
  </si>
  <si>
    <t xml:space="preserve">calça social </t>
  </si>
  <si>
    <t>camisa de manga curta ou camisa tipo Polo</t>
  </si>
  <si>
    <t>calçado tipo social em couro ou material similar</t>
  </si>
  <si>
    <t>Verão</t>
  </si>
  <si>
    <t>Inverno</t>
  </si>
  <si>
    <t>camisa de manga longa com logotipo e nome da contratada</t>
  </si>
  <si>
    <t>jaqueta, forrada, com elástico nos punhos e firme com logotipo e nome da Contratada</t>
  </si>
  <si>
    <t>blusão ou moletom firme com logotipo e nome da Contratada</t>
  </si>
  <si>
    <t>Serviço de copeiragem</t>
  </si>
  <si>
    <t>Nota – Aviso Prévio Trabalhado:
A parcela mensal referente ao aviso prévio trabalhado deverá observar o percentual
máximo de 1,94% no primeiro ano de vigência contratual e, em caso de prorrogação, o
percentual máximo de 0,194% a cada ano, a ser considerado por ocasião da
formalização do termo aditivo, nos termos da Lei nº 12.506/2011, conforme Acórdão
TCU nº 1.186/2017 – Plenário (Boletim de Jurisprudência nº 176/2017) e Nota Técnica
nº 652/2017 – 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</si>
</sst>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d/m/yyyy"/>
    <numFmt numFmtId="165" formatCode="&quot;R$&quot;#,##0.00"/>
    <numFmt numFmtId="166" formatCode="0.000%"/>
    <numFmt numFmtId="167" formatCode="0.0000"/>
    <numFmt numFmtId="168" formatCode="0.0000%"/>
    <numFmt numFmtId="169" formatCode="&quot;R$ &quot;#,##0.00"/>
    <numFmt numFmtId="170" formatCode="_(&quot;R$ &quot;* #,##0.00_);_(&quot;R$ &quot;* \(#,##0.00\);_(&quot;R$ &quot;* \-??_);_(@_)"/>
    <numFmt numFmtId="171" formatCode="_(* #,##0.00_);_(* \(#,##0.00\);_(* \-??_);_(@_)"/>
    <numFmt numFmtId="172" formatCode="0.0"/>
  </numFmts>
  <fonts count="38" x14ac:knownFonts="1">
    <font>
      <sz val="10"/>
      <name val="Arial"/>
      <family val="2"/>
      <charset val="1"/>
    </font>
    <font>
      <b/>
      <sz val="18"/>
      <color rgb="FF003366"/>
      <name val="Cambria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5"/>
      <color rgb="FF000080"/>
      <name val="Arial"/>
      <family val="2"/>
      <charset val="1"/>
    </font>
    <font>
      <b/>
      <sz val="10"/>
      <color rgb="FF000080"/>
      <name val="Arial"/>
      <family val="2"/>
      <charset val="1"/>
    </font>
    <font>
      <sz val="10"/>
      <color rgb="FF000000"/>
      <name val="Arial"/>
      <family val="2"/>
      <charset val="1"/>
    </font>
    <font>
      <b/>
      <sz val="14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b/>
      <sz val="15"/>
      <color rgb="FF0000FF"/>
      <name val="Arial"/>
      <family val="2"/>
      <charset val="1"/>
    </font>
    <font>
      <b/>
      <sz val="14"/>
      <color rgb="FF80008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2"/>
      <color rgb="FF80008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color rgb="FF0000FF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009900"/>
      <name val="Arial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12"/>
      <name val="Arial"/>
      <family val="2"/>
      <charset val="1"/>
    </font>
    <font>
      <sz val="8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969696"/>
      </patternFill>
    </fill>
    <fill>
      <patternFill patternType="solid">
        <fgColor rgb="FF92D050"/>
        <bgColor rgb="FFB2B2B2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969696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indexed="64"/>
      </bottom>
      <diagonal/>
    </border>
  </borders>
  <cellStyleXfs count="4">
    <xf numFmtId="0" fontId="0" fillId="0" borderId="0"/>
    <xf numFmtId="171" fontId="17" fillId="0" borderId="0" applyBorder="0" applyProtection="0"/>
    <xf numFmtId="170" fontId="17" fillId="0" borderId="0" applyBorder="0" applyProtection="0"/>
    <xf numFmtId="0" fontId="1" fillId="0" borderId="0" applyBorder="0" applyProtection="0"/>
  </cellStyleXfs>
  <cellXfs count="1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1" fontId="0" fillId="0" borderId="0" xfId="1" applyFont="1" applyBorder="1" applyAlignment="1" applyProtection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1" fontId="11" fillId="4" borderId="1" xfId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2" fontId="0" fillId="0" borderId="1" xfId="0" applyNumberFormat="1" applyFont="1" applyBorder="1" applyAlignment="1">
      <alignment horizontal="center" vertical="center"/>
    </xf>
    <xf numFmtId="171" fontId="0" fillId="5" borderId="1" xfId="1" applyFont="1" applyFill="1" applyBorder="1" applyAlignment="1" applyProtection="1">
      <alignment horizontal="right" vertical="center"/>
    </xf>
    <xf numFmtId="171" fontId="0" fillId="0" borderId="1" xfId="1" applyFont="1" applyBorder="1" applyAlignment="1" applyProtection="1">
      <alignment horizontal="right" vertical="center"/>
    </xf>
    <xf numFmtId="4" fontId="2" fillId="4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/>
    </xf>
    <xf numFmtId="4" fontId="0" fillId="0" borderId="1" xfId="1" applyNumberFormat="1" applyFont="1" applyBorder="1" applyAlignment="1" applyProtection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171" fontId="12" fillId="0" borderId="1" xfId="1" applyFont="1" applyBorder="1" applyAlignment="1" applyProtection="1">
      <alignment horizontal="right" vertical="center"/>
    </xf>
    <xf numFmtId="4" fontId="12" fillId="0" borderId="1" xfId="1" applyNumberFormat="1" applyFont="1" applyBorder="1" applyAlignment="1" applyProtection="1">
      <alignment horizontal="right" vertical="center"/>
    </xf>
    <xf numFmtId="4" fontId="7" fillId="4" borderId="1" xfId="1" applyNumberFormat="1" applyFont="1" applyFill="1" applyBorder="1" applyAlignment="1" applyProtection="1">
      <alignment horizontal="right" vertical="center"/>
    </xf>
    <xf numFmtId="4" fontId="2" fillId="4" borderId="1" xfId="1" applyNumberFormat="1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171" fontId="2" fillId="4" borderId="2" xfId="1" applyFont="1" applyFill="1" applyBorder="1" applyAlignment="1" applyProtection="1">
      <alignment horizontal="center" vertical="center"/>
    </xf>
    <xf numFmtId="4" fontId="0" fillId="0" borderId="0" xfId="0" applyNumberFormat="1" applyFont="1" applyAlignment="1">
      <alignment vertical="center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171" fontId="2" fillId="4" borderId="3" xfId="1" applyFont="1" applyFill="1" applyBorder="1" applyAlignment="1" applyProtection="1">
      <alignment horizontal="center" vertical="center"/>
    </xf>
    <xf numFmtId="171" fontId="8" fillId="4" borderId="2" xfId="1" applyFont="1" applyFill="1" applyBorder="1" applyAlignment="1" applyProtection="1">
      <alignment vertical="center"/>
    </xf>
    <xf numFmtId="4" fontId="2" fillId="0" borderId="0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10" fontId="0" fillId="0" borderId="0" xfId="0" applyNumberFormat="1" applyFont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170" fontId="3" fillId="0" borderId="13" xfId="2" applyFont="1" applyBorder="1" applyAlignment="1" applyProtection="1">
      <alignment horizontal="right" vertical="center"/>
    </xf>
    <xf numFmtId="1" fontId="3" fillId="0" borderId="15" xfId="2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170" fontId="3" fillId="0" borderId="7" xfId="2" applyFont="1" applyBorder="1" applyAlignment="1" applyProtection="1">
      <alignment vertical="center"/>
    </xf>
    <xf numFmtId="170" fontId="2" fillId="0" borderId="20" xfId="2" applyFont="1" applyBorder="1" applyAlignment="1" applyProtection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170" fontId="17" fillId="0" borderId="18" xfId="2" applyBorder="1" applyAlignment="1" applyProtection="1">
      <alignment horizontal="right" vertical="center"/>
    </xf>
    <xf numFmtId="171" fontId="2" fillId="4" borderId="2" xfId="1" applyFont="1" applyFill="1" applyBorder="1" applyAlignment="1" applyProtection="1">
      <alignment horizontal="center" vertical="center"/>
    </xf>
    <xf numFmtId="171" fontId="2" fillId="4" borderId="2" xfId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0" fontId="18" fillId="6" borderId="0" xfId="0" applyFont="1" applyFill="1"/>
    <xf numFmtId="0" fontId="18" fillId="6" borderId="21" xfId="0" applyFont="1" applyFill="1" applyBorder="1"/>
    <xf numFmtId="166" fontId="27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10" fontId="27" fillId="0" borderId="1" xfId="0" applyNumberFormat="1" applyFont="1" applyBorder="1" applyAlignment="1">
      <alignment horizontal="right" vertical="center" wrapText="1"/>
    </xf>
    <xf numFmtId="10" fontId="27" fillId="0" borderId="1" xfId="0" applyNumberFormat="1" applyFont="1" applyBorder="1" applyAlignment="1">
      <alignment vertical="center"/>
    </xf>
    <xf numFmtId="4" fontId="27" fillId="2" borderId="1" xfId="0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0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center"/>
    </xf>
    <xf numFmtId="4" fontId="27" fillId="0" borderId="1" xfId="0" applyNumberFormat="1" applyFont="1" applyBorder="1" applyAlignment="1">
      <alignment horizontal="right"/>
    </xf>
    <xf numFmtId="4" fontId="27" fillId="2" borderId="1" xfId="0" applyNumberFormat="1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center" vertical="center"/>
    </xf>
    <xf numFmtId="10" fontId="27" fillId="0" borderId="1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 wrapText="1"/>
    </xf>
    <xf numFmtId="9" fontId="27" fillId="0" borderId="1" xfId="0" applyNumberFormat="1" applyFont="1" applyBorder="1" applyAlignment="1">
      <alignment horizontal="left" vertical="center" wrapText="1"/>
    </xf>
    <xf numFmtId="167" fontId="27" fillId="0" borderId="1" xfId="0" applyNumberFormat="1" applyFont="1" applyBorder="1" applyAlignment="1">
      <alignment horizontal="left" vertical="center" wrapText="1"/>
    </xf>
    <xf numFmtId="168" fontId="28" fillId="3" borderId="1" xfId="0" applyNumberFormat="1" applyFont="1" applyFill="1" applyBorder="1" applyAlignment="1">
      <alignment horizontal="right" vertical="center"/>
    </xf>
    <xf numFmtId="168" fontId="27" fillId="2" borderId="1" xfId="0" applyNumberFormat="1" applyFont="1" applyFill="1" applyBorder="1" applyAlignment="1">
      <alignment horizontal="right" vertical="center"/>
    </xf>
    <xf numFmtId="169" fontId="28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 applyProtection="1">
      <alignment vertical="center"/>
    </xf>
    <xf numFmtId="3" fontId="28" fillId="0" borderId="1" xfId="0" applyNumberFormat="1" applyFont="1" applyBorder="1" applyAlignment="1" applyProtection="1">
      <alignment vertical="center"/>
    </xf>
    <xf numFmtId="3" fontId="28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right" vertical="center" wrapText="1"/>
    </xf>
    <xf numFmtId="2" fontId="27" fillId="0" borderId="1" xfId="0" applyNumberFormat="1" applyFont="1" applyBorder="1" applyAlignment="1">
      <alignment horizontal="right" vertical="center" wrapText="1"/>
    </xf>
    <xf numFmtId="2" fontId="27" fillId="2" borderId="1" xfId="0" applyNumberFormat="1" applyFont="1" applyFill="1" applyBorder="1" applyAlignment="1">
      <alignment horizontal="right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4" fontId="27" fillId="0" borderId="1" xfId="0" applyNumberFormat="1" applyFont="1" applyBorder="1" applyAlignment="1"/>
    <xf numFmtId="0" fontId="30" fillId="0" borderId="1" xfId="0" applyFont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7" fillId="2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right" vertical="center" wrapText="1"/>
    </xf>
    <xf numFmtId="4" fontId="27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right" vertical="center"/>
    </xf>
    <xf numFmtId="10" fontId="28" fillId="0" borderId="1" xfId="0" applyNumberFormat="1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right" vertical="center"/>
    </xf>
    <xf numFmtId="10" fontId="27" fillId="0" borderId="1" xfId="0" applyNumberFormat="1" applyFont="1" applyBorder="1" applyAlignment="1">
      <alignment horizontal="center" vertical="center" wrapText="1"/>
    </xf>
    <xf numFmtId="10" fontId="28" fillId="0" borderId="1" xfId="0" applyNumberFormat="1" applyFont="1" applyBorder="1" applyAlignment="1">
      <alignment horizontal="right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23" fillId="8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18" fillId="6" borderId="0" xfId="0" applyFont="1" applyFill="1" applyBorder="1"/>
    <xf numFmtId="0" fontId="0" fillId="9" borderId="1" xfId="0" applyFont="1" applyFill="1" applyBorder="1" applyAlignment="1">
      <alignment horizontal="center" vertical="center"/>
    </xf>
    <xf numFmtId="1" fontId="0" fillId="9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165" fontId="28" fillId="0" borderId="1" xfId="0" applyNumberFormat="1" applyFont="1" applyBorder="1" applyAlignment="1">
      <alignment horizontal="right" vertical="center" wrapText="1"/>
    </xf>
    <xf numFmtId="14" fontId="28" fillId="0" borderId="1" xfId="0" applyNumberFormat="1" applyFont="1" applyBorder="1" applyAlignment="1">
      <alignment horizontal="right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/>
    </xf>
    <xf numFmtId="0" fontId="27" fillId="2" borderId="1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171" fontId="2" fillId="4" borderId="2" xfId="1" applyFont="1" applyFill="1" applyBorder="1" applyAlignment="1" applyProtection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1" fontId="0" fillId="0" borderId="2" xfId="1" applyFont="1" applyBorder="1" applyAlignment="1" applyProtection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71" fontId="0" fillId="0" borderId="1" xfId="1" applyFont="1" applyBorder="1" applyAlignment="1" applyProtection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2" fillId="0" borderId="0" xfId="0" applyFont="1" applyAlignment="1">
      <alignment horizontal="center" wrapText="1"/>
    </xf>
  </cellXfs>
  <cellStyles count="4">
    <cellStyle name="Moeda" xfId="2" builtinId="4"/>
    <cellStyle name="Normal" xfId="0" builtinId="0"/>
    <cellStyle name="Título 5" xfId="3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9900"/>
      <rgbColor rgb="FF000080"/>
      <rgbColor rgb="FF808000"/>
      <rgbColor rgb="FF800080"/>
      <rgbColor rgb="FF008080"/>
      <rgbColor rgb="FFB2B2B2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206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54"/>
  <sheetViews>
    <sheetView tabSelected="1" topLeftCell="A132" zoomScale="110" zoomScaleNormal="110" zoomScaleSheetLayoutView="100" zoomScalePageLayoutView="93" workbookViewId="0">
      <selection activeCell="B159" sqref="B159"/>
    </sheetView>
  </sheetViews>
  <sheetFormatPr defaultColWidth="8.85546875" defaultRowHeight="12" x14ac:dyDescent="0.2"/>
  <cols>
    <col min="1" max="16384" width="8.85546875" style="59"/>
  </cols>
  <sheetData>
    <row r="1" spans="1:12" s="105" customFormat="1" ht="42" customHeight="1" x14ac:dyDescent="0.2">
      <c r="A1" s="112" t="s">
        <v>184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2" s="105" customFormat="1" ht="46.5" customHeight="1" x14ac:dyDescent="0.2">
      <c r="A2" s="113" t="s">
        <v>185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2" ht="14.65" customHeight="1" x14ac:dyDescent="0.2">
      <c r="A3" s="114" t="s">
        <v>0</v>
      </c>
      <c r="B3" s="114"/>
      <c r="C3" s="114"/>
      <c r="D3" s="114"/>
      <c r="E3" s="114"/>
      <c r="F3" s="114"/>
      <c r="G3" s="114"/>
      <c r="H3" s="115" t="s">
        <v>177</v>
      </c>
      <c r="I3" s="115"/>
      <c r="J3" s="115"/>
    </row>
    <row r="4" spans="1:12" ht="14.65" customHeight="1" x14ac:dyDescent="0.2">
      <c r="A4" s="114" t="s">
        <v>1</v>
      </c>
      <c r="B4" s="114"/>
      <c r="C4" s="114"/>
      <c r="D4" s="114"/>
      <c r="E4" s="114"/>
      <c r="F4" s="114"/>
      <c r="G4" s="114"/>
      <c r="H4" s="115" t="s">
        <v>177</v>
      </c>
      <c r="I4" s="115"/>
      <c r="J4" s="115"/>
    </row>
    <row r="5" spans="1:12" ht="14.65" customHeight="1" x14ac:dyDescent="0.2">
      <c r="A5" s="114" t="s">
        <v>2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2" ht="16.149999999999999" customHeight="1" x14ac:dyDescent="0.2">
      <c r="A6" s="116" t="s">
        <v>3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2" ht="14.65" customHeight="1" x14ac:dyDescent="0.2">
      <c r="A7" s="60" t="s">
        <v>4</v>
      </c>
      <c r="B7" s="114" t="s">
        <v>5</v>
      </c>
      <c r="C7" s="114"/>
      <c r="D7" s="114"/>
      <c r="E7" s="114"/>
      <c r="F7" s="114"/>
      <c r="G7" s="114"/>
      <c r="H7" s="117"/>
      <c r="I7" s="117"/>
      <c r="J7" s="117"/>
    </row>
    <row r="8" spans="1:12" ht="14.65" customHeight="1" x14ac:dyDescent="0.2">
      <c r="A8" s="60" t="s">
        <v>6</v>
      </c>
      <c r="B8" s="114" t="s">
        <v>7</v>
      </c>
      <c r="C8" s="114"/>
      <c r="D8" s="114"/>
      <c r="E8" s="114"/>
      <c r="F8" s="114"/>
      <c r="G8" s="114"/>
      <c r="H8" s="117" t="s">
        <v>148</v>
      </c>
      <c r="I8" s="117"/>
      <c r="J8" s="117"/>
      <c r="L8" s="106"/>
    </row>
    <row r="9" spans="1:12" ht="39" customHeight="1" x14ac:dyDescent="0.2">
      <c r="A9" s="60" t="s">
        <v>8</v>
      </c>
      <c r="B9" s="114" t="s">
        <v>9</v>
      </c>
      <c r="C9" s="114"/>
      <c r="D9" s="114"/>
      <c r="E9" s="114"/>
      <c r="F9" s="114"/>
      <c r="G9" s="114"/>
      <c r="H9" s="117" t="s">
        <v>186</v>
      </c>
      <c r="I9" s="117"/>
      <c r="J9" s="117"/>
    </row>
    <row r="10" spans="1:12" ht="14.65" customHeight="1" x14ac:dyDescent="0.2">
      <c r="A10" s="60" t="s">
        <v>10</v>
      </c>
      <c r="B10" s="114" t="s">
        <v>11</v>
      </c>
      <c r="C10" s="114"/>
      <c r="D10" s="114"/>
      <c r="E10" s="114"/>
      <c r="F10" s="114"/>
      <c r="G10" s="114"/>
      <c r="H10" s="118">
        <v>24</v>
      </c>
      <c r="I10" s="118"/>
      <c r="J10" s="118"/>
    </row>
    <row r="11" spans="1:12" x14ac:dyDescent="0.2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  <row r="12" spans="1:12" ht="48.75" customHeight="1" x14ac:dyDescent="0.2">
      <c r="A12" s="114" t="s">
        <v>151</v>
      </c>
      <c r="B12" s="114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">
      <c r="A13" s="119"/>
      <c r="B13" s="119"/>
      <c r="C13" s="119"/>
      <c r="D13" s="119"/>
      <c r="E13" s="119"/>
      <c r="F13" s="119"/>
      <c r="G13" s="119"/>
      <c r="H13" s="119"/>
      <c r="I13" s="119"/>
      <c r="J13" s="119"/>
    </row>
    <row r="14" spans="1:12" ht="16.149999999999999" customHeight="1" x14ac:dyDescent="0.2">
      <c r="A14" s="120" t="s">
        <v>12</v>
      </c>
      <c r="B14" s="120"/>
      <c r="C14" s="120"/>
      <c r="D14" s="120"/>
      <c r="E14" s="120"/>
      <c r="F14" s="120"/>
      <c r="G14" s="120"/>
      <c r="H14" s="120"/>
      <c r="I14" s="120"/>
      <c r="J14" s="120"/>
    </row>
    <row r="15" spans="1:12" ht="27.6" customHeight="1" x14ac:dyDescent="0.2">
      <c r="A15" s="60">
        <v>1</v>
      </c>
      <c r="B15" s="114" t="s">
        <v>13</v>
      </c>
      <c r="C15" s="114"/>
      <c r="D15" s="114"/>
      <c r="E15" s="114"/>
      <c r="F15" s="114"/>
      <c r="G15" s="114"/>
      <c r="H15" s="121" t="s">
        <v>187</v>
      </c>
      <c r="I15" s="121"/>
      <c r="J15" s="121"/>
    </row>
    <row r="16" spans="1:12" ht="16.149999999999999" customHeight="1" x14ac:dyDescent="0.2">
      <c r="A16" s="60">
        <v>2</v>
      </c>
      <c r="B16" s="114" t="s">
        <v>14</v>
      </c>
      <c r="C16" s="114"/>
      <c r="D16" s="114"/>
      <c r="E16" s="114"/>
      <c r="F16" s="114"/>
      <c r="G16" s="114"/>
      <c r="H16" s="121">
        <v>5134</v>
      </c>
      <c r="I16" s="121"/>
      <c r="J16" s="121"/>
    </row>
    <row r="17" spans="1:10" ht="30.6" customHeight="1" x14ac:dyDescent="0.2">
      <c r="A17" s="60">
        <v>3</v>
      </c>
      <c r="B17" s="114" t="s">
        <v>183</v>
      </c>
      <c r="C17" s="114"/>
      <c r="D17" s="114"/>
      <c r="E17" s="114"/>
      <c r="F17" s="114"/>
      <c r="G17" s="114"/>
      <c r="H17" s="122">
        <v>1653.58</v>
      </c>
      <c r="I17" s="122"/>
      <c r="J17" s="122"/>
    </row>
    <row r="18" spans="1:10" ht="24" customHeight="1" x14ac:dyDescent="0.2">
      <c r="A18" s="60">
        <v>4</v>
      </c>
      <c r="B18" s="114" t="s">
        <v>15</v>
      </c>
      <c r="C18" s="114"/>
      <c r="D18" s="114"/>
      <c r="E18" s="114"/>
      <c r="F18" s="114"/>
      <c r="G18" s="114"/>
      <c r="H18" s="121"/>
      <c r="I18" s="121"/>
      <c r="J18" s="121"/>
    </row>
    <row r="19" spans="1:10" ht="16.149999999999999" customHeight="1" x14ac:dyDescent="0.2">
      <c r="A19" s="60">
        <v>5</v>
      </c>
      <c r="B19" s="114" t="s">
        <v>16</v>
      </c>
      <c r="C19" s="114"/>
      <c r="D19" s="114"/>
      <c r="E19" s="114"/>
      <c r="F19" s="114"/>
      <c r="G19" s="114"/>
      <c r="H19" s="123">
        <v>45658</v>
      </c>
      <c r="I19" s="121"/>
      <c r="J19" s="121"/>
    </row>
    <row r="20" spans="1:10" x14ac:dyDescent="0.2">
      <c r="A20" s="119"/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10" ht="20.65" customHeight="1" x14ac:dyDescent="0.2">
      <c r="A21" s="114" t="s">
        <v>17</v>
      </c>
      <c r="B21" s="114"/>
      <c r="C21" s="114"/>
      <c r="D21" s="114"/>
      <c r="E21" s="114"/>
      <c r="F21" s="114"/>
      <c r="G21" s="114"/>
      <c r="H21" s="114"/>
      <c r="I21" s="114"/>
      <c r="J21" s="114"/>
    </row>
    <row r="22" spans="1:10" ht="30.4" customHeight="1" x14ac:dyDescent="0.2">
      <c r="A22" s="61">
        <v>1</v>
      </c>
      <c r="B22" s="120" t="s">
        <v>18</v>
      </c>
      <c r="C22" s="120"/>
      <c r="D22" s="120"/>
      <c r="E22" s="120"/>
      <c r="F22" s="120"/>
      <c r="G22" s="120"/>
      <c r="H22" s="120" t="s">
        <v>19</v>
      </c>
      <c r="I22" s="120"/>
      <c r="J22" s="61" t="s">
        <v>20</v>
      </c>
    </row>
    <row r="23" spans="1:10" ht="12.75" customHeight="1" x14ac:dyDescent="0.2">
      <c r="A23" s="60" t="s">
        <v>4</v>
      </c>
      <c r="B23" s="114" t="s">
        <v>188</v>
      </c>
      <c r="C23" s="114"/>
      <c r="D23" s="114"/>
      <c r="E23" s="114"/>
      <c r="F23" s="114"/>
      <c r="G23" s="114"/>
      <c r="H23" s="114"/>
      <c r="I23" s="114"/>
      <c r="J23" s="62">
        <f>H17</f>
        <v>1653.58</v>
      </c>
    </row>
    <row r="24" spans="1:10" ht="12.75" customHeight="1" x14ac:dyDescent="0.2">
      <c r="A24" s="63" t="s">
        <v>6</v>
      </c>
      <c r="B24" s="114" t="s">
        <v>21</v>
      </c>
      <c r="C24" s="114"/>
      <c r="D24" s="114"/>
      <c r="E24" s="114"/>
      <c r="F24" s="114"/>
      <c r="G24" s="114"/>
      <c r="H24" s="114"/>
      <c r="I24" s="64">
        <v>0</v>
      </c>
      <c r="J24" s="62">
        <f>ROUND(I24*J23,2)</f>
        <v>0</v>
      </c>
    </row>
    <row r="25" spans="1:10" ht="12.75" customHeight="1" x14ac:dyDescent="0.2">
      <c r="A25" s="63" t="s">
        <v>8</v>
      </c>
      <c r="B25" s="114" t="s">
        <v>22</v>
      </c>
      <c r="C25" s="114"/>
      <c r="D25" s="114"/>
      <c r="E25" s="114"/>
      <c r="F25" s="114"/>
      <c r="G25" s="114"/>
      <c r="H25" s="114"/>
      <c r="I25" s="114"/>
      <c r="J25" s="62"/>
    </row>
    <row r="26" spans="1:10" ht="12.75" customHeight="1" x14ac:dyDescent="0.2">
      <c r="A26" s="63" t="s">
        <v>10</v>
      </c>
      <c r="B26" s="114" t="s">
        <v>23</v>
      </c>
      <c r="C26" s="114"/>
      <c r="D26" s="114"/>
      <c r="E26" s="114"/>
      <c r="F26" s="114"/>
      <c r="G26" s="114"/>
      <c r="H26" s="114"/>
      <c r="I26" s="114"/>
      <c r="J26" s="62"/>
    </row>
    <row r="27" spans="1:10" ht="12.75" customHeight="1" x14ac:dyDescent="0.2">
      <c r="A27" s="63" t="s">
        <v>24</v>
      </c>
      <c r="B27" s="114" t="s">
        <v>25</v>
      </c>
      <c r="C27" s="114"/>
      <c r="D27" s="114"/>
      <c r="E27" s="114"/>
      <c r="F27" s="114"/>
      <c r="G27" s="114"/>
      <c r="H27" s="114"/>
      <c r="I27" s="114"/>
      <c r="J27" s="62"/>
    </row>
    <row r="28" spans="1:10" ht="12.75" customHeight="1" x14ac:dyDescent="0.2">
      <c r="A28" s="60" t="s">
        <v>46</v>
      </c>
      <c r="B28" s="114" t="s">
        <v>116</v>
      </c>
      <c r="C28" s="114"/>
      <c r="D28" s="114"/>
      <c r="E28" s="114"/>
      <c r="F28" s="114"/>
      <c r="G28" s="114"/>
      <c r="H28" s="114"/>
      <c r="I28" s="65">
        <v>0.2</v>
      </c>
      <c r="J28" s="62">
        <f>ROUND(I28*J23,2)</f>
        <v>330.72</v>
      </c>
    </row>
    <row r="29" spans="1:10" ht="15.75" customHeight="1" x14ac:dyDescent="0.2">
      <c r="A29" s="124" t="s">
        <v>26</v>
      </c>
      <c r="B29" s="124"/>
      <c r="C29" s="124"/>
      <c r="D29" s="124"/>
      <c r="E29" s="124"/>
      <c r="F29" s="124"/>
      <c r="G29" s="124"/>
      <c r="H29" s="124"/>
      <c r="I29" s="124"/>
      <c r="J29" s="66">
        <f>SUM(J23:J28)</f>
        <v>1984.3</v>
      </c>
    </row>
    <row r="30" spans="1:10" x14ac:dyDescent="0.2">
      <c r="A30" s="119"/>
      <c r="B30" s="119"/>
      <c r="C30" s="119"/>
      <c r="D30" s="119"/>
      <c r="E30" s="119"/>
      <c r="F30" s="119"/>
      <c r="G30" s="119"/>
      <c r="H30" s="119"/>
      <c r="I30" s="119"/>
      <c r="J30" s="119"/>
    </row>
    <row r="31" spans="1:10" ht="16.149999999999999" customHeight="1" x14ac:dyDescent="0.2">
      <c r="A31" s="114" t="s">
        <v>27</v>
      </c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x14ac:dyDescent="0.2">
      <c r="A32" s="125" t="s">
        <v>28</v>
      </c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0" ht="24" x14ac:dyDescent="0.2">
      <c r="A33" s="67" t="s">
        <v>29</v>
      </c>
      <c r="B33" s="126" t="s">
        <v>172</v>
      </c>
      <c r="C33" s="126"/>
      <c r="D33" s="126"/>
      <c r="E33" s="126"/>
      <c r="F33" s="126"/>
      <c r="G33" s="126"/>
      <c r="H33" s="126"/>
      <c r="I33" s="126"/>
      <c r="J33" s="60" t="s">
        <v>30</v>
      </c>
    </row>
    <row r="34" spans="1:10" ht="36.6" customHeight="1" x14ac:dyDescent="0.2">
      <c r="A34" s="67" t="s">
        <v>4</v>
      </c>
      <c r="B34" s="114" t="s">
        <v>171</v>
      </c>
      <c r="C34" s="114"/>
      <c r="D34" s="114"/>
      <c r="E34" s="114"/>
      <c r="F34" s="114"/>
      <c r="G34" s="114"/>
      <c r="H34" s="114"/>
      <c r="I34" s="68">
        <v>8.3299999999999999E-2</v>
      </c>
      <c r="J34" s="69">
        <f>ROUND($J$29*I34,2)</f>
        <v>165.29</v>
      </c>
    </row>
    <row r="35" spans="1:10" ht="36.200000000000003" customHeight="1" x14ac:dyDescent="0.2">
      <c r="A35" s="67" t="s">
        <v>6</v>
      </c>
      <c r="B35" s="127" t="s">
        <v>173</v>
      </c>
      <c r="C35" s="127"/>
      <c r="D35" s="127"/>
      <c r="E35" s="127"/>
      <c r="F35" s="127"/>
      <c r="G35" s="127"/>
      <c r="H35" s="127"/>
      <c r="I35" s="58">
        <v>3.0249999999999999E-2</v>
      </c>
      <c r="J35" s="69">
        <f>ROUND($J$29*I35,2)</f>
        <v>60.03</v>
      </c>
    </row>
    <row r="36" spans="1:10" x14ac:dyDescent="0.2">
      <c r="A36" s="128" t="s">
        <v>31</v>
      </c>
      <c r="B36" s="128"/>
      <c r="C36" s="128"/>
      <c r="D36" s="128"/>
      <c r="E36" s="128"/>
      <c r="F36" s="128"/>
      <c r="G36" s="128"/>
      <c r="H36" s="128"/>
      <c r="I36" s="128"/>
      <c r="J36" s="70">
        <f>SUM(J34+J35)</f>
        <v>225.32</v>
      </c>
    </row>
    <row r="37" spans="1:10" x14ac:dyDescent="0.2">
      <c r="A37" s="71" t="s">
        <v>8</v>
      </c>
      <c r="B37" s="126" t="s">
        <v>32</v>
      </c>
      <c r="C37" s="126"/>
      <c r="D37" s="126"/>
      <c r="E37" s="126"/>
      <c r="F37" s="126"/>
      <c r="G37" s="126"/>
      <c r="H37" s="126"/>
      <c r="I37" s="126"/>
      <c r="J37" s="72">
        <f>ROUND(I50*J36,2)</f>
        <v>82.92</v>
      </c>
    </row>
    <row r="38" spans="1:10" x14ac:dyDescent="0.2">
      <c r="A38" s="129" t="s">
        <v>31</v>
      </c>
      <c r="B38" s="129"/>
      <c r="C38" s="129"/>
      <c r="D38" s="129"/>
      <c r="E38" s="129"/>
      <c r="F38" s="129"/>
      <c r="G38" s="129"/>
      <c r="H38" s="129"/>
      <c r="I38" s="129"/>
      <c r="J38" s="73">
        <f>J36+J37</f>
        <v>308.24</v>
      </c>
    </row>
    <row r="39" spans="1:10" x14ac:dyDescent="0.2">
      <c r="A39" s="119"/>
      <c r="B39" s="119"/>
      <c r="C39" s="119"/>
      <c r="D39" s="119"/>
      <c r="E39" s="119"/>
      <c r="F39" s="119"/>
      <c r="G39" s="119"/>
      <c r="H39" s="119"/>
      <c r="I39" s="119"/>
      <c r="J39" s="119"/>
    </row>
    <row r="40" spans="1:10" ht="30.4" customHeight="1" x14ac:dyDescent="0.2">
      <c r="A40" s="114" t="s">
        <v>33</v>
      </c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0" ht="30.4" customHeight="1" x14ac:dyDescent="0.2">
      <c r="A41" s="74" t="s">
        <v>34</v>
      </c>
      <c r="B41" s="130" t="s">
        <v>35</v>
      </c>
      <c r="C41" s="130"/>
      <c r="D41" s="130"/>
      <c r="E41" s="130"/>
      <c r="F41" s="130"/>
      <c r="G41" s="130"/>
      <c r="H41" s="130"/>
      <c r="I41" s="61" t="s">
        <v>36</v>
      </c>
      <c r="J41" s="61" t="s">
        <v>37</v>
      </c>
    </row>
    <row r="42" spans="1:10" x14ac:dyDescent="0.2">
      <c r="A42" s="67" t="s">
        <v>4</v>
      </c>
      <c r="B42" s="126" t="s">
        <v>38</v>
      </c>
      <c r="C42" s="126"/>
      <c r="D42" s="126"/>
      <c r="E42" s="126"/>
      <c r="F42" s="126"/>
      <c r="G42" s="126"/>
      <c r="H42" s="126"/>
      <c r="I42" s="75">
        <v>0.2</v>
      </c>
      <c r="J42" s="76">
        <f t="shared" ref="J42:J49" si="0">ROUND($J$29*I42,2)</f>
        <v>396.86</v>
      </c>
    </row>
    <row r="43" spans="1:10" x14ac:dyDescent="0.2">
      <c r="A43" s="67" t="s">
        <v>6</v>
      </c>
      <c r="B43" s="126" t="s">
        <v>39</v>
      </c>
      <c r="C43" s="126"/>
      <c r="D43" s="126"/>
      <c r="E43" s="126"/>
      <c r="F43" s="126"/>
      <c r="G43" s="126"/>
      <c r="H43" s="126"/>
      <c r="I43" s="75">
        <v>2.5000000000000001E-2</v>
      </c>
      <c r="J43" s="76">
        <f t="shared" si="0"/>
        <v>49.61</v>
      </c>
    </row>
    <row r="44" spans="1:10" ht="12.75" customHeight="1" x14ac:dyDescent="0.2">
      <c r="A44" s="67" t="s">
        <v>8</v>
      </c>
      <c r="B44" s="114" t="s">
        <v>117</v>
      </c>
      <c r="C44" s="114"/>
      <c r="D44" s="114"/>
      <c r="E44" s="77" t="s">
        <v>40</v>
      </c>
      <c r="F44" s="78">
        <v>0.03</v>
      </c>
      <c r="G44" s="77" t="s">
        <v>41</v>
      </c>
      <c r="H44" s="79">
        <v>1</v>
      </c>
      <c r="I44" s="80">
        <f>F44*H44</f>
        <v>0.03</v>
      </c>
      <c r="J44" s="76">
        <f t="shared" si="0"/>
        <v>59.53</v>
      </c>
    </row>
    <row r="45" spans="1:10" x14ac:dyDescent="0.2">
      <c r="A45" s="67" t="s">
        <v>10</v>
      </c>
      <c r="B45" s="126" t="s">
        <v>42</v>
      </c>
      <c r="C45" s="126"/>
      <c r="D45" s="126"/>
      <c r="E45" s="126"/>
      <c r="F45" s="126"/>
      <c r="G45" s="126"/>
      <c r="H45" s="126"/>
      <c r="I45" s="75">
        <v>1.4999999999999999E-2</v>
      </c>
      <c r="J45" s="76">
        <f t="shared" si="0"/>
        <v>29.76</v>
      </c>
    </row>
    <row r="46" spans="1:10" x14ac:dyDescent="0.2">
      <c r="A46" s="67" t="s">
        <v>24</v>
      </c>
      <c r="B46" s="126" t="s">
        <v>43</v>
      </c>
      <c r="C46" s="126"/>
      <c r="D46" s="126"/>
      <c r="E46" s="126"/>
      <c r="F46" s="126"/>
      <c r="G46" s="126"/>
      <c r="H46" s="126"/>
      <c r="I46" s="75">
        <v>0.01</v>
      </c>
      <c r="J46" s="76">
        <f t="shared" si="0"/>
        <v>19.84</v>
      </c>
    </row>
    <row r="47" spans="1:10" x14ac:dyDescent="0.2">
      <c r="A47" s="67" t="s">
        <v>44</v>
      </c>
      <c r="B47" s="126" t="s">
        <v>45</v>
      </c>
      <c r="C47" s="126"/>
      <c r="D47" s="126"/>
      <c r="E47" s="126"/>
      <c r="F47" s="126"/>
      <c r="G47" s="126"/>
      <c r="H47" s="126"/>
      <c r="I47" s="75">
        <v>6.0000000000000001E-3</v>
      </c>
      <c r="J47" s="76">
        <f t="shared" si="0"/>
        <v>11.91</v>
      </c>
    </row>
    <row r="48" spans="1:10" x14ac:dyDescent="0.2">
      <c r="A48" s="67" t="s">
        <v>46</v>
      </c>
      <c r="B48" s="126" t="s">
        <v>47</v>
      </c>
      <c r="C48" s="126"/>
      <c r="D48" s="126"/>
      <c r="E48" s="126"/>
      <c r="F48" s="126"/>
      <c r="G48" s="126"/>
      <c r="H48" s="126"/>
      <c r="I48" s="75">
        <v>2E-3</v>
      </c>
      <c r="J48" s="76">
        <f t="shared" si="0"/>
        <v>3.97</v>
      </c>
    </row>
    <row r="49" spans="1:10" x14ac:dyDescent="0.2">
      <c r="A49" s="67" t="s">
        <v>48</v>
      </c>
      <c r="B49" s="126" t="s">
        <v>49</v>
      </c>
      <c r="C49" s="126"/>
      <c r="D49" s="126"/>
      <c r="E49" s="126"/>
      <c r="F49" s="126"/>
      <c r="G49" s="126"/>
      <c r="H49" s="126"/>
      <c r="I49" s="75">
        <v>0.08</v>
      </c>
      <c r="J49" s="76">
        <f t="shared" si="0"/>
        <v>158.74</v>
      </c>
    </row>
    <row r="50" spans="1:10" x14ac:dyDescent="0.2">
      <c r="A50" s="129" t="s">
        <v>31</v>
      </c>
      <c r="B50" s="129"/>
      <c r="C50" s="129"/>
      <c r="D50" s="129"/>
      <c r="E50" s="129"/>
      <c r="F50" s="129"/>
      <c r="G50" s="129"/>
      <c r="H50" s="129"/>
      <c r="I50" s="81">
        <f>SUM(I42:I49)</f>
        <v>0.36800000000000005</v>
      </c>
      <c r="J50" s="73">
        <f>SUM(J42:J49)</f>
        <v>730.22</v>
      </c>
    </row>
    <row r="51" spans="1:10" x14ac:dyDescent="0.2">
      <c r="A51" s="119"/>
      <c r="B51" s="119"/>
      <c r="C51" s="119"/>
      <c r="D51" s="119"/>
      <c r="E51" s="119"/>
      <c r="F51" s="119"/>
      <c r="G51" s="119"/>
      <c r="H51" s="119"/>
      <c r="I51" s="119"/>
      <c r="J51" s="119"/>
    </row>
    <row r="52" spans="1:10" ht="16.149999999999999" customHeight="1" x14ac:dyDescent="0.2">
      <c r="A52" s="114" t="s">
        <v>50</v>
      </c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ht="16.149999999999999" customHeight="1" x14ac:dyDescent="0.2">
      <c r="A53" s="74" t="s">
        <v>51</v>
      </c>
      <c r="B53" s="130" t="s">
        <v>52</v>
      </c>
      <c r="C53" s="130"/>
      <c r="D53" s="130"/>
      <c r="E53" s="130"/>
      <c r="F53" s="130"/>
      <c r="G53" s="130"/>
      <c r="H53" s="130"/>
      <c r="I53" s="130"/>
      <c r="J53" s="61" t="s">
        <v>30</v>
      </c>
    </row>
    <row r="54" spans="1:10" x14ac:dyDescent="0.2">
      <c r="A54" s="67" t="s">
        <v>4</v>
      </c>
      <c r="B54" s="126" t="s">
        <v>174</v>
      </c>
      <c r="C54" s="126"/>
      <c r="D54" s="126"/>
      <c r="E54" s="126"/>
      <c r="F54" s="126"/>
      <c r="G54" s="126"/>
      <c r="H54" s="126"/>
      <c r="I54" s="126"/>
      <c r="J54" s="76">
        <f>IF(ROUND((I57*I55*I56)-(J23*0.06),2)&lt;0,0,ROUND((I57*I55*I56)-(J23*0.06),2))*1+(I55*I56*21.726-0.06*J23)*0</f>
        <v>164.79</v>
      </c>
    </row>
    <row r="55" spans="1:10" x14ac:dyDescent="0.2">
      <c r="A55" s="67"/>
      <c r="B55" s="131" t="s">
        <v>53</v>
      </c>
      <c r="C55" s="131"/>
      <c r="D55" s="131"/>
      <c r="E55" s="131"/>
      <c r="F55" s="131"/>
      <c r="G55" s="131"/>
      <c r="H55" s="131"/>
      <c r="I55" s="82">
        <v>6</v>
      </c>
      <c r="J55" s="83" t="s">
        <v>54</v>
      </c>
    </row>
    <row r="56" spans="1:10" x14ac:dyDescent="0.2">
      <c r="A56" s="67"/>
      <c r="B56" s="131" t="s">
        <v>55</v>
      </c>
      <c r="C56" s="131"/>
      <c r="D56" s="131"/>
      <c r="E56" s="131"/>
      <c r="F56" s="131"/>
      <c r="G56" s="131"/>
      <c r="H56" s="131"/>
      <c r="I56" s="84">
        <v>2</v>
      </c>
      <c r="J56" s="83"/>
    </row>
    <row r="57" spans="1:10" x14ac:dyDescent="0.2">
      <c r="A57" s="67"/>
      <c r="B57" s="131" t="s">
        <v>56</v>
      </c>
      <c r="C57" s="131"/>
      <c r="D57" s="131"/>
      <c r="E57" s="131"/>
      <c r="F57" s="131"/>
      <c r="G57" s="131"/>
      <c r="H57" s="131"/>
      <c r="I57" s="85">
        <v>22</v>
      </c>
      <c r="J57" s="83"/>
    </row>
    <row r="58" spans="1:10" ht="15" x14ac:dyDescent="0.2">
      <c r="A58" s="67" t="s">
        <v>6</v>
      </c>
      <c r="B58" s="126" t="s">
        <v>161</v>
      </c>
      <c r="C58" s="126"/>
      <c r="D58" s="126"/>
      <c r="E58" s="126"/>
      <c r="F58" s="126"/>
      <c r="G58" s="126"/>
      <c r="H58" s="126"/>
      <c r="I58" s="126"/>
      <c r="J58" s="76">
        <f>ROUND(I60*I59*(1-0.19),2)*1+ROUND(21.726*6*(1-0.19),2)*0</f>
        <v>452.98</v>
      </c>
    </row>
    <row r="59" spans="1:10" x14ac:dyDescent="0.2">
      <c r="A59" s="67"/>
      <c r="B59" s="131" t="s">
        <v>180</v>
      </c>
      <c r="C59" s="131"/>
      <c r="D59" s="131"/>
      <c r="E59" s="131"/>
      <c r="F59" s="131"/>
      <c r="G59" s="131"/>
      <c r="H59" s="131"/>
      <c r="I59" s="82">
        <v>25.42</v>
      </c>
      <c r="J59" s="83" t="s">
        <v>54</v>
      </c>
    </row>
    <row r="60" spans="1:10" x14ac:dyDescent="0.2">
      <c r="A60" s="67"/>
      <c r="B60" s="131" t="s">
        <v>57</v>
      </c>
      <c r="C60" s="131"/>
      <c r="D60" s="131"/>
      <c r="E60" s="131"/>
      <c r="F60" s="131"/>
      <c r="G60" s="131"/>
      <c r="H60" s="131"/>
      <c r="I60" s="86">
        <v>22</v>
      </c>
      <c r="J60" s="83"/>
    </row>
    <row r="61" spans="1:10" ht="27.6" customHeight="1" x14ac:dyDescent="0.2">
      <c r="A61" s="67" t="s">
        <v>8</v>
      </c>
      <c r="B61" s="114" t="s">
        <v>149</v>
      </c>
      <c r="C61" s="114"/>
      <c r="D61" s="114"/>
      <c r="E61" s="114"/>
      <c r="F61" s="114"/>
      <c r="G61" s="114"/>
      <c r="H61" s="114"/>
      <c r="I61" s="114"/>
      <c r="J61" s="76">
        <v>0</v>
      </c>
    </row>
    <row r="62" spans="1:10" ht="27.6" customHeight="1" x14ac:dyDescent="0.2">
      <c r="A62" s="67" t="s">
        <v>10</v>
      </c>
      <c r="B62" s="114" t="s">
        <v>150</v>
      </c>
      <c r="C62" s="114"/>
      <c r="D62" s="114"/>
      <c r="E62" s="114"/>
      <c r="F62" s="114"/>
      <c r="G62" s="114"/>
      <c r="H62" s="114"/>
      <c r="I62" s="114"/>
      <c r="J62" s="87">
        <v>24.1</v>
      </c>
    </row>
    <row r="63" spans="1:10" x14ac:dyDescent="0.2">
      <c r="A63" s="129" t="s">
        <v>26</v>
      </c>
      <c r="B63" s="129"/>
      <c r="C63" s="129"/>
      <c r="D63" s="129"/>
      <c r="E63" s="129"/>
      <c r="F63" s="129"/>
      <c r="G63" s="129"/>
      <c r="H63" s="129"/>
      <c r="I63" s="129"/>
      <c r="J63" s="73">
        <f>SUM(J54:J62)</f>
        <v>641.87</v>
      </c>
    </row>
    <row r="64" spans="1:10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</row>
    <row r="65" spans="1:10" ht="16.149999999999999" customHeight="1" x14ac:dyDescent="0.2">
      <c r="A65" s="114" t="s">
        <v>58</v>
      </c>
      <c r="B65" s="114"/>
      <c r="C65" s="114"/>
      <c r="D65" s="114"/>
      <c r="E65" s="114"/>
      <c r="F65" s="114"/>
      <c r="G65" s="114"/>
      <c r="H65" s="114"/>
      <c r="I65" s="114"/>
      <c r="J65" s="114"/>
    </row>
    <row r="66" spans="1:10" ht="16.149999999999999" customHeight="1" x14ac:dyDescent="0.2">
      <c r="A66" s="61">
        <v>2</v>
      </c>
      <c r="B66" s="120" t="s">
        <v>59</v>
      </c>
      <c r="C66" s="120"/>
      <c r="D66" s="120"/>
      <c r="E66" s="120"/>
      <c r="F66" s="120"/>
      <c r="G66" s="120"/>
      <c r="H66" s="120"/>
      <c r="I66" s="120"/>
      <c r="J66" s="61" t="s">
        <v>30</v>
      </c>
    </row>
    <row r="67" spans="1:10" ht="14.65" customHeight="1" x14ac:dyDescent="0.2">
      <c r="A67" s="60" t="s">
        <v>29</v>
      </c>
      <c r="B67" s="60"/>
      <c r="C67" s="114" t="s">
        <v>60</v>
      </c>
      <c r="D67" s="114"/>
      <c r="E67" s="114"/>
      <c r="F67" s="114"/>
      <c r="G67" s="114"/>
      <c r="H67" s="114"/>
      <c r="I67" s="114"/>
      <c r="J67" s="88">
        <f>J38</f>
        <v>308.24</v>
      </c>
    </row>
    <row r="68" spans="1:10" ht="14.65" customHeight="1" x14ac:dyDescent="0.2">
      <c r="A68" s="60" t="s">
        <v>34</v>
      </c>
      <c r="B68" s="60"/>
      <c r="C68" s="114" t="s">
        <v>35</v>
      </c>
      <c r="D68" s="114"/>
      <c r="E68" s="114"/>
      <c r="F68" s="114"/>
      <c r="G68" s="114"/>
      <c r="H68" s="114"/>
      <c r="I68" s="114"/>
      <c r="J68" s="88">
        <f>J50</f>
        <v>730.22</v>
      </c>
    </row>
    <row r="69" spans="1:10" ht="14.65" customHeight="1" x14ac:dyDescent="0.2">
      <c r="A69" s="60" t="s">
        <v>51</v>
      </c>
      <c r="B69" s="60"/>
      <c r="C69" s="114" t="s">
        <v>52</v>
      </c>
      <c r="D69" s="114"/>
      <c r="E69" s="114"/>
      <c r="F69" s="114"/>
      <c r="G69" s="114"/>
      <c r="H69" s="114"/>
      <c r="I69" s="114"/>
      <c r="J69" s="88">
        <f>J63</f>
        <v>641.87</v>
      </c>
    </row>
    <row r="70" spans="1:10" ht="14.65" customHeight="1" x14ac:dyDescent="0.2">
      <c r="A70" s="124" t="s">
        <v>31</v>
      </c>
      <c r="B70" s="124"/>
      <c r="C70" s="124"/>
      <c r="D70" s="124"/>
      <c r="E70" s="124"/>
      <c r="F70" s="124"/>
      <c r="G70" s="124"/>
      <c r="H70" s="124"/>
      <c r="I70" s="124"/>
      <c r="J70" s="89">
        <f>SUM(J67+J68+J69)</f>
        <v>1680.33</v>
      </c>
    </row>
    <row r="71" spans="1:10" x14ac:dyDescent="0.2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16.149999999999999" customHeight="1" x14ac:dyDescent="0.2">
      <c r="A72" s="114" t="s">
        <v>61</v>
      </c>
      <c r="B72" s="114"/>
      <c r="C72" s="114"/>
      <c r="D72" s="114"/>
      <c r="E72" s="114"/>
      <c r="F72" s="114"/>
      <c r="G72" s="114"/>
      <c r="H72" s="114"/>
      <c r="I72" s="114"/>
      <c r="J72" s="114"/>
    </row>
    <row r="73" spans="1:10" ht="16.149999999999999" customHeight="1" x14ac:dyDescent="0.2">
      <c r="A73" s="74">
        <v>3</v>
      </c>
      <c r="B73" s="120" t="s">
        <v>62</v>
      </c>
      <c r="C73" s="120"/>
      <c r="D73" s="120"/>
      <c r="E73" s="120"/>
      <c r="F73" s="120"/>
      <c r="G73" s="120"/>
      <c r="H73" s="120"/>
      <c r="I73" s="120"/>
      <c r="J73" s="74" t="s">
        <v>63</v>
      </c>
    </row>
    <row r="74" spans="1:10" ht="46.5" customHeight="1" x14ac:dyDescent="0.2">
      <c r="A74" s="67" t="s">
        <v>4</v>
      </c>
      <c r="B74" s="114" t="s">
        <v>162</v>
      </c>
      <c r="C74" s="114"/>
      <c r="D74" s="114"/>
      <c r="E74" s="114"/>
      <c r="F74" s="114"/>
      <c r="G74" s="114"/>
      <c r="H74" s="114"/>
      <c r="I74" s="114"/>
      <c r="J74" s="76">
        <f>ROUND((($J$29/12)+($J$34/12)+($J$29/12/12)+($J$35/12))*(30/30)*0.05,2)</f>
        <v>9.9</v>
      </c>
    </row>
    <row r="75" spans="1:10" ht="14.65" customHeight="1" x14ac:dyDescent="0.2">
      <c r="A75" s="67" t="s">
        <v>6</v>
      </c>
      <c r="B75" s="114" t="s">
        <v>64</v>
      </c>
      <c r="C75" s="114"/>
      <c r="D75" s="114"/>
      <c r="E75" s="114"/>
      <c r="F75" s="114"/>
      <c r="G75" s="114"/>
      <c r="H75" s="114"/>
      <c r="I75" s="114"/>
      <c r="J75" s="76">
        <f>ROUND($J$74*I49,2)</f>
        <v>0.79</v>
      </c>
    </row>
    <row r="76" spans="1:10" ht="36.200000000000003" customHeight="1" x14ac:dyDescent="0.2">
      <c r="A76" s="67" t="s">
        <v>8</v>
      </c>
      <c r="B76" s="114" t="s">
        <v>163</v>
      </c>
      <c r="C76" s="114"/>
      <c r="D76" s="114"/>
      <c r="E76" s="114"/>
      <c r="F76" s="114"/>
      <c r="G76" s="114"/>
      <c r="H76" s="114"/>
      <c r="I76" s="90">
        <v>1.9E-3</v>
      </c>
      <c r="J76" s="76">
        <f>ROUND($J$29*I76,2)</f>
        <v>3.77</v>
      </c>
    </row>
    <row r="77" spans="1:10" ht="35.450000000000003" customHeight="1" x14ac:dyDescent="0.2">
      <c r="A77" s="67" t="s">
        <v>10</v>
      </c>
      <c r="B77" s="114" t="s">
        <v>164</v>
      </c>
      <c r="C77" s="114"/>
      <c r="D77" s="114"/>
      <c r="E77" s="114"/>
      <c r="F77" s="114"/>
      <c r="G77" s="114"/>
      <c r="H77" s="114"/>
      <c r="I77" s="114"/>
      <c r="J77" s="76">
        <f>ROUND(((($J$29/30)*7)/$H$10)*0.9,2)</f>
        <v>17.36</v>
      </c>
    </row>
    <row r="78" spans="1:10" ht="14.65" customHeight="1" x14ac:dyDescent="0.2">
      <c r="A78" s="67" t="s">
        <v>24</v>
      </c>
      <c r="B78" s="114" t="s">
        <v>65</v>
      </c>
      <c r="C78" s="114"/>
      <c r="D78" s="114"/>
      <c r="E78" s="114"/>
      <c r="F78" s="114"/>
      <c r="G78" s="114"/>
      <c r="H78" s="114"/>
      <c r="I78" s="114"/>
      <c r="J78" s="76">
        <f>ROUND($I$50*J77,2)</f>
        <v>6.39</v>
      </c>
    </row>
    <row r="79" spans="1:10" ht="36.200000000000003" customHeight="1" x14ac:dyDescent="0.2">
      <c r="A79" s="67" t="s">
        <v>44</v>
      </c>
      <c r="B79" s="114" t="s">
        <v>165</v>
      </c>
      <c r="C79" s="114"/>
      <c r="D79" s="114"/>
      <c r="E79" s="114"/>
      <c r="F79" s="114"/>
      <c r="G79" s="114"/>
      <c r="H79" s="114"/>
      <c r="I79" s="90">
        <v>3.8100000000000002E-2</v>
      </c>
      <c r="J79" s="76">
        <f>ROUND($J$29*I79,2)</f>
        <v>75.599999999999994</v>
      </c>
    </row>
    <row r="80" spans="1:10" x14ac:dyDescent="0.2">
      <c r="A80" s="129" t="s">
        <v>31</v>
      </c>
      <c r="B80" s="129"/>
      <c r="C80" s="129"/>
      <c r="D80" s="129"/>
      <c r="E80" s="129"/>
      <c r="F80" s="129"/>
      <c r="G80" s="129"/>
      <c r="H80" s="129"/>
      <c r="I80" s="129"/>
      <c r="J80" s="73">
        <f>SUM(J74:J79)</f>
        <v>113.81</v>
      </c>
    </row>
    <row r="81" spans="1:10" x14ac:dyDescent="0.2">
      <c r="A81" s="119"/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t="16.149999999999999" customHeight="1" x14ac:dyDescent="0.2">
      <c r="A82" s="114" t="s">
        <v>66</v>
      </c>
      <c r="B82" s="114"/>
      <c r="C82" s="114"/>
      <c r="D82" s="114"/>
      <c r="E82" s="114"/>
      <c r="F82" s="114"/>
      <c r="G82" s="114"/>
      <c r="H82" s="114"/>
      <c r="I82" s="114"/>
      <c r="J82" s="114"/>
    </row>
    <row r="83" spans="1:10" ht="29.45" customHeight="1" x14ac:dyDescent="0.2">
      <c r="A83" s="132" t="s">
        <v>67</v>
      </c>
      <c r="B83" s="132"/>
      <c r="C83" s="132"/>
      <c r="D83" s="132"/>
      <c r="E83" s="132"/>
      <c r="F83" s="132"/>
      <c r="G83" s="132"/>
      <c r="H83" s="132"/>
      <c r="I83" s="132"/>
      <c r="J83" s="87">
        <f>J86+J29+J34+J35</f>
        <v>2389.7000000000003</v>
      </c>
    </row>
    <row r="84" spans="1:10" ht="14.65" customHeight="1" x14ac:dyDescent="0.2">
      <c r="A84" s="127"/>
      <c r="B84" s="127"/>
      <c r="C84" s="127"/>
      <c r="D84" s="127"/>
      <c r="E84" s="127"/>
      <c r="F84" s="127"/>
      <c r="G84" s="127"/>
      <c r="H84" s="127"/>
      <c r="I84" s="127"/>
      <c r="J84" s="127"/>
    </row>
    <row r="85" spans="1:10" x14ac:dyDescent="0.2">
      <c r="A85" s="91" t="s">
        <v>68</v>
      </c>
      <c r="B85" s="130" t="s">
        <v>69</v>
      </c>
      <c r="C85" s="130"/>
      <c r="D85" s="130"/>
      <c r="E85" s="130"/>
      <c r="F85" s="130"/>
      <c r="G85" s="130"/>
      <c r="H85" s="130"/>
      <c r="I85" s="130"/>
      <c r="J85" s="91" t="s">
        <v>30</v>
      </c>
    </row>
    <row r="86" spans="1:10" ht="12.75" customHeight="1" x14ac:dyDescent="0.2">
      <c r="A86" s="71" t="s">
        <v>4</v>
      </c>
      <c r="B86" s="114" t="s">
        <v>70</v>
      </c>
      <c r="C86" s="114"/>
      <c r="D86" s="114"/>
      <c r="E86" s="114"/>
      <c r="F86" s="114"/>
      <c r="G86" s="114"/>
      <c r="H86" s="114"/>
      <c r="I86" s="58">
        <v>9.0749999999999997E-2</v>
      </c>
      <c r="J86" s="76">
        <f>ROUND(($J$29*I86),2)</f>
        <v>180.08</v>
      </c>
    </row>
    <row r="87" spans="1:10" x14ac:dyDescent="0.2">
      <c r="A87" s="71" t="s">
        <v>6</v>
      </c>
      <c r="B87" s="126" t="s">
        <v>166</v>
      </c>
      <c r="C87" s="126"/>
      <c r="D87" s="126"/>
      <c r="E87" s="126"/>
      <c r="F87" s="126"/>
      <c r="G87" s="126"/>
      <c r="H87" s="126"/>
      <c r="I87" s="126"/>
      <c r="J87" s="92">
        <f>ROUND((($J$83/30)*2.96)/12,2)</f>
        <v>19.649999999999999</v>
      </c>
    </row>
    <row r="88" spans="1:10" x14ac:dyDescent="0.2">
      <c r="A88" s="71" t="s">
        <v>8</v>
      </c>
      <c r="B88" s="126" t="s">
        <v>167</v>
      </c>
      <c r="C88" s="126"/>
      <c r="D88" s="126"/>
      <c r="E88" s="126"/>
      <c r="F88" s="126"/>
      <c r="G88" s="126"/>
      <c r="H88" s="126"/>
      <c r="I88" s="126"/>
      <c r="J88" s="92">
        <f>ROUND((($J$83/30)*5)/12*0.015,2)</f>
        <v>0.5</v>
      </c>
    </row>
    <row r="89" spans="1:10" x14ac:dyDescent="0.2">
      <c r="A89" s="71" t="s">
        <v>10</v>
      </c>
      <c r="B89" s="126" t="s">
        <v>168</v>
      </c>
      <c r="C89" s="126"/>
      <c r="D89" s="126"/>
      <c r="E89" s="126"/>
      <c r="F89" s="126"/>
      <c r="G89" s="126"/>
      <c r="H89" s="126"/>
      <c r="I89" s="126"/>
      <c r="J89" s="72">
        <f>ROUND(((($J$83/30)*15)/12)*0.0078,2)</f>
        <v>0.78</v>
      </c>
    </row>
    <row r="90" spans="1:10" x14ac:dyDescent="0.2">
      <c r="A90" s="71" t="s">
        <v>24</v>
      </c>
      <c r="B90" s="126" t="s">
        <v>169</v>
      </c>
      <c r="C90" s="126"/>
      <c r="D90" s="126"/>
      <c r="E90" s="126"/>
      <c r="F90" s="126"/>
      <c r="G90" s="126"/>
      <c r="H90" s="126"/>
      <c r="I90" s="126"/>
      <c r="J90" s="76">
        <f>ROUND(((($J$29+$J$29/3)*4/12)/12)*0.02,2)</f>
        <v>1.47</v>
      </c>
    </row>
    <row r="91" spans="1:10" x14ac:dyDescent="0.2">
      <c r="A91" s="93" t="s">
        <v>44</v>
      </c>
      <c r="B91" s="133" t="s">
        <v>170</v>
      </c>
      <c r="C91" s="133"/>
      <c r="D91" s="133"/>
      <c r="E91" s="133"/>
      <c r="F91" s="133"/>
      <c r="G91" s="133"/>
      <c r="H91" s="133"/>
      <c r="I91" s="133"/>
      <c r="J91" s="72">
        <f>ROUND(((($J$83/30)*5)/12),2)</f>
        <v>33.19</v>
      </c>
    </row>
    <row r="92" spans="1:10" x14ac:dyDescent="0.2">
      <c r="A92" s="129" t="s">
        <v>31</v>
      </c>
      <c r="B92" s="129"/>
      <c r="C92" s="129"/>
      <c r="D92" s="129"/>
      <c r="E92" s="129"/>
      <c r="F92" s="129"/>
      <c r="G92" s="129"/>
      <c r="H92" s="129"/>
      <c r="I92" s="129"/>
      <c r="J92" s="94">
        <f>SUM(J86:J91)</f>
        <v>235.67000000000002</v>
      </c>
    </row>
    <row r="93" spans="1:10" ht="14.65" customHeight="1" x14ac:dyDescent="0.2">
      <c r="A93" s="71" t="s">
        <v>46</v>
      </c>
      <c r="B93" s="126" t="s">
        <v>71</v>
      </c>
      <c r="C93" s="126"/>
      <c r="D93" s="126"/>
      <c r="E93" s="126"/>
      <c r="F93" s="126"/>
      <c r="G93" s="126"/>
      <c r="H93" s="126"/>
      <c r="I93" s="126"/>
      <c r="J93" s="72">
        <f>ROUND(I50*J92,2)</f>
        <v>86.73</v>
      </c>
    </row>
    <row r="94" spans="1:10" x14ac:dyDescent="0.2">
      <c r="A94" s="129" t="s">
        <v>31</v>
      </c>
      <c r="B94" s="129"/>
      <c r="C94" s="129"/>
      <c r="D94" s="129"/>
      <c r="E94" s="129"/>
      <c r="F94" s="129"/>
      <c r="G94" s="129"/>
      <c r="H94" s="129"/>
      <c r="I94" s="129"/>
      <c r="J94" s="73">
        <f>SUM(J92:J93)</f>
        <v>322.40000000000003</v>
      </c>
    </row>
    <row r="95" spans="1:10" ht="16.149999999999999" customHeight="1" x14ac:dyDescent="0.2">
      <c r="A95" s="114" t="s">
        <v>72</v>
      </c>
      <c r="B95" s="114"/>
      <c r="C95" s="114"/>
      <c r="D95" s="114"/>
      <c r="E95" s="114"/>
      <c r="F95" s="114"/>
      <c r="G95" s="114"/>
      <c r="H95" s="114"/>
      <c r="I95" s="114"/>
      <c r="J95" s="114"/>
    </row>
    <row r="96" spans="1:10" x14ac:dyDescent="0.2">
      <c r="A96" s="74" t="s">
        <v>73</v>
      </c>
      <c r="B96" s="130" t="s">
        <v>74</v>
      </c>
      <c r="C96" s="130"/>
      <c r="D96" s="130"/>
      <c r="E96" s="130"/>
      <c r="F96" s="130"/>
      <c r="G96" s="130"/>
      <c r="H96" s="130"/>
      <c r="I96" s="130"/>
      <c r="J96" s="95" t="s">
        <v>30</v>
      </c>
    </row>
    <row r="97" spans="1:10" x14ac:dyDescent="0.2">
      <c r="A97" s="67" t="s">
        <v>4</v>
      </c>
      <c r="B97" s="126" t="s">
        <v>75</v>
      </c>
      <c r="C97" s="126"/>
      <c r="D97" s="126"/>
      <c r="E97" s="126"/>
      <c r="F97" s="126"/>
      <c r="G97" s="126"/>
      <c r="H97" s="126"/>
      <c r="I97" s="126"/>
      <c r="J97" s="76">
        <v>0</v>
      </c>
    </row>
    <row r="98" spans="1:10" x14ac:dyDescent="0.2">
      <c r="A98" s="134" t="s">
        <v>31</v>
      </c>
      <c r="B98" s="134"/>
      <c r="C98" s="134"/>
      <c r="D98" s="134"/>
      <c r="E98" s="134"/>
      <c r="F98" s="134"/>
      <c r="G98" s="134"/>
      <c r="H98" s="134"/>
      <c r="I98" s="134"/>
      <c r="J98" s="76">
        <v>0</v>
      </c>
    </row>
    <row r="99" spans="1:10" x14ac:dyDescent="0.2">
      <c r="A99" s="71" t="s">
        <v>6</v>
      </c>
      <c r="B99" s="126" t="s">
        <v>76</v>
      </c>
      <c r="C99" s="126"/>
      <c r="D99" s="126"/>
      <c r="E99" s="126"/>
      <c r="F99" s="126"/>
      <c r="G99" s="126"/>
      <c r="H99" s="126"/>
      <c r="I99" s="126"/>
      <c r="J99" s="72">
        <f>ROUND(I50*J98,2)</f>
        <v>0</v>
      </c>
    </row>
    <row r="100" spans="1:10" x14ac:dyDescent="0.2">
      <c r="A100" s="129" t="s">
        <v>31</v>
      </c>
      <c r="B100" s="129"/>
      <c r="C100" s="129"/>
      <c r="D100" s="129"/>
      <c r="E100" s="129"/>
      <c r="F100" s="129"/>
      <c r="G100" s="129"/>
      <c r="H100" s="129"/>
      <c r="I100" s="129"/>
      <c r="J100" s="73">
        <f>SUM(J98:J99)</f>
        <v>0</v>
      </c>
    </row>
    <row r="101" spans="1:10" x14ac:dyDescent="0.2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spans="1:10" ht="16.149999999999999" customHeight="1" x14ac:dyDescent="0.2">
      <c r="A102" s="114" t="s">
        <v>77</v>
      </c>
      <c r="B102" s="114"/>
      <c r="C102" s="114"/>
      <c r="D102" s="114"/>
      <c r="E102" s="114"/>
      <c r="F102" s="114"/>
      <c r="G102" s="114"/>
      <c r="H102" s="114"/>
      <c r="I102" s="114"/>
      <c r="J102" s="114"/>
    </row>
    <row r="103" spans="1:10" ht="16.149999999999999" customHeight="1" x14ac:dyDescent="0.2">
      <c r="A103" s="61">
        <v>4</v>
      </c>
      <c r="B103" s="120" t="s">
        <v>78</v>
      </c>
      <c r="C103" s="120"/>
      <c r="D103" s="120"/>
      <c r="E103" s="120"/>
      <c r="F103" s="120"/>
      <c r="G103" s="120"/>
      <c r="H103" s="120"/>
      <c r="I103" s="120"/>
      <c r="J103" s="95" t="s">
        <v>30</v>
      </c>
    </row>
    <row r="104" spans="1:10" ht="14.65" customHeight="1" x14ac:dyDescent="0.2">
      <c r="A104" s="60" t="s">
        <v>68</v>
      </c>
      <c r="B104" s="114" t="s">
        <v>79</v>
      </c>
      <c r="C104" s="114"/>
      <c r="D104" s="114"/>
      <c r="E104" s="114"/>
      <c r="F104" s="114"/>
      <c r="G104" s="114"/>
      <c r="H104" s="114"/>
      <c r="I104" s="114"/>
      <c r="J104" s="76">
        <f>J94</f>
        <v>322.40000000000003</v>
      </c>
    </row>
    <row r="105" spans="1:10" ht="14.65" customHeight="1" x14ac:dyDescent="0.2">
      <c r="A105" s="60" t="s">
        <v>80</v>
      </c>
      <c r="B105" s="114" t="s">
        <v>81</v>
      </c>
      <c r="C105" s="114"/>
      <c r="D105" s="114"/>
      <c r="E105" s="114"/>
      <c r="F105" s="114"/>
      <c r="G105" s="114"/>
      <c r="H105" s="114"/>
      <c r="I105" s="114"/>
      <c r="J105" s="76">
        <f>J100</f>
        <v>0</v>
      </c>
    </row>
    <row r="106" spans="1:10" ht="14.65" customHeight="1" x14ac:dyDescent="0.2">
      <c r="A106" s="124" t="s">
        <v>31</v>
      </c>
      <c r="B106" s="124"/>
      <c r="C106" s="124"/>
      <c r="D106" s="124"/>
      <c r="E106" s="124"/>
      <c r="F106" s="124"/>
      <c r="G106" s="124"/>
      <c r="H106" s="124"/>
      <c r="I106" s="124"/>
      <c r="J106" s="73">
        <f>SUM(J104+J105)</f>
        <v>322.40000000000003</v>
      </c>
    </row>
    <row r="107" spans="1:10" x14ac:dyDescent="0.2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</row>
    <row r="108" spans="1:10" ht="16.149999999999999" customHeight="1" x14ac:dyDescent="0.2">
      <c r="A108" s="114" t="s">
        <v>82</v>
      </c>
      <c r="B108" s="114"/>
      <c r="C108" s="114"/>
      <c r="D108" s="114"/>
      <c r="E108" s="114"/>
      <c r="F108" s="114"/>
      <c r="G108" s="114"/>
      <c r="H108" s="114"/>
      <c r="I108" s="114"/>
      <c r="J108" s="114"/>
    </row>
    <row r="109" spans="1:10" ht="16.149999999999999" customHeight="1" x14ac:dyDescent="0.2">
      <c r="A109" s="74">
        <v>5</v>
      </c>
      <c r="B109" s="130" t="s">
        <v>83</v>
      </c>
      <c r="C109" s="130"/>
      <c r="D109" s="130"/>
      <c r="E109" s="130"/>
      <c r="F109" s="130"/>
      <c r="G109" s="130"/>
      <c r="H109" s="130"/>
      <c r="I109" s="130"/>
      <c r="J109" s="74" t="s">
        <v>30</v>
      </c>
    </row>
    <row r="110" spans="1:10" x14ac:dyDescent="0.2">
      <c r="A110" s="67" t="s">
        <v>4</v>
      </c>
      <c r="B110" s="126" t="s">
        <v>84</v>
      </c>
      <c r="C110" s="126"/>
      <c r="D110" s="126"/>
      <c r="E110" s="126"/>
      <c r="F110" s="126"/>
      <c r="G110" s="126"/>
      <c r="H110" s="126"/>
      <c r="I110" s="126"/>
      <c r="J110" s="76">
        <f>INSUMOS!G44</f>
        <v>127.76</v>
      </c>
    </row>
    <row r="111" spans="1:10" x14ac:dyDescent="0.2">
      <c r="A111" s="67" t="s">
        <v>6</v>
      </c>
      <c r="B111" s="126" t="s">
        <v>85</v>
      </c>
      <c r="C111" s="126"/>
      <c r="D111" s="126"/>
      <c r="E111" s="126"/>
      <c r="F111" s="126"/>
      <c r="G111" s="126"/>
      <c r="H111" s="126"/>
      <c r="I111" s="126"/>
      <c r="J111" s="87">
        <v>0</v>
      </c>
    </row>
    <row r="112" spans="1:10" x14ac:dyDescent="0.2">
      <c r="A112" s="67" t="s">
        <v>8</v>
      </c>
      <c r="B112" s="126" t="s">
        <v>86</v>
      </c>
      <c r="C112" s="126"/>
      <c r="D112" s="126"/>
      <c r="E112" s="126"/>
      <c r="F112" s="126"/>
      <c r="G112" s="126"/>
      <c r="H112" s="126"/>
      <c r="I112" s="126"/>
      <c r="J112" s="87">
        <f>INSUMOS!G38</f>
        <v>33.465624999999996</v>
      </c>
    </row>
    <row r="113" spans="1:10" x14ac:dyDescent="0.2">
      <c r="A113" s="67" t="s">
        <v>10</v>
      </c>
      <c r="B113" s="126" t="s">
        <v>87</v>
      </c>
      <c r="C113" s="126"/>
      <c r="D113" s="126"/>
      <c r="E113" s="126"/>
      <c r="F113" s="126"/>
      <c r="G113" s="126"/>
      <c r="H113" s="126"/>
      <c r="I113" s="126"/>
      <c r="J113" s="87">
        <v>0</v>
      </c>
    </row>
    <row r="114" spans="1:10" x14ac:dyDescent="0.2">
      <c r="A114" s="129" t="s">
        <v>26</v>
      </c>
      <c r="B114" s="129"/>
      <c r="C114" s="129"/>
      <c r="D114" s="129"/>
      <c r="E114" s="129"/>
      <c r="F114" s="129"/>
      <c r="G114" s="129"/>
      <c r="H114" s="129"/>
      <c r="I114" s="129"/>
      <c r="J114" s="96">
        <f>SUM(J110:J113)</f>
        <v>161.22562500000001</v>
      </c>
    </row>
    <row r="115" spans="1:10" x14ac:dyDescent="0.2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</row>
    <row r="116" spans="1:10" ht="16.149999999999999" customHeight="1" x14ac:dyDescent="0.2">
      <c r="A116" s="114" t="s">
        <v>88</v>
      </c>
      <c r="B116" s="114"/>
      <c r="C116" s="114"/>
      <c r="D116" s="114"/>
      <c r="E116" s="114"/>
      <c r="F116" s="114"/>
      <c r="G116" s="114"/>
      <c r="H116" s="114"/>
      <c r="I116" s="114"/>
      <c r="J116" s="114"/>
    </row>
    <row r="117" spans="1:10" ht="24" x14ac:dyDescent="0.2">
      <c r="A117" s="74">
        <v>6</v>
      </c>
      <c r="B117" s="130" t="s">
        <v>89</v>
      </c>
      <c r="C117" s="130"/>
      <c r="D117" s="130"/>
      <c r="E117" s="130"/>
      <c r="F117" s="130"/>
      <c r="G117" s="130"/>
      <c r="H117" s="130"/>
      <c r="I117" s="61" t="s">
        <v>36</v>
      </c>
      <c r="J117" s="97" t="s">
        <v>90</v>
      </c>
    </row>
    <row r="118" spans="1:10" ht="12.75" customHeight="1" x14ac:dyDescent="0.2">
      <c r="A118" s="135" t="s">
        <v>91</v>
      </c>
      <c r="B118" s="135"/>
      <c r="C118" s="135"/>
      <c r="D118" s="135"/>
      <c r="E118" s="135"/>
      <c r="F118" s="135"/>
      <c r="G118" s="135"/>
      <c r="H118" s="135"/>
      <c r="I118" s="98" t="s">
        <v>54</v>
      </c>
      <c r="J118" s="99">
        <f>SUM(J29+J70+J80+J106+J114)</f>
        <v>4262.0656250000002</v>
      </c>
    </row>
    <row r="119" spans="1:10" x14ac:dyDescent="0.2">
      <c r="A119" s="67" t="s">
        <v>4</v>
      </c>
      <c r="B119" s="126" t="s">
        <v>92</v>
      </c>
      <c r="C119" s="126"/>
      <c r="D119" s="126"/>
      <c r="E119" s="126"/>
      <c r="F119" s="126"/>
      <c r="G119" s="126"/>
      <c r="H119" s="126"/>
      <c r="I119" s="75">
        <v>0.05</v>
      </c>
      <c r="J119" s="76">
        <f>ROUND(I119*J118,2)</f>
        <v>213.1</v>
      </c>
    </row>
    <row r="120" spans="1:10" ht="12.75" customHeight="1" x14ac:dyDescent="0.2">
      <c r="A120" s="135" t="s">
        <v>93</v>
      </c>
      <c r="B120" s="135"/>
      <c r="C120" s="135"/>
      <c r="D120" s="135"/>
      <c r="E120" s="135"/>
      <c r="F120" s="135"/>
      <c r="G120" s="135"/>
      <c r="H120" s="135"/>
      <c r="I120" s="100" t="s">
        <v>54</v>
      </c>
      <c r="J120" s="99">
        <f>SUM(J29+J70+J80+J106+J114+J119)</f>
        <v>4475.1656250000005</v>
      </c>
    </row>
    <row r="121" spans="1:10" x14ac:dyDescent="0.2">
      <c r="A121" s="67" t="s">
        <v>6</v>
      </c>
      <c r="B121" s="126" t="s">
        <v>94</v>
      </c>
      <c r="C121" s="126"/>
      <c r="D121" s="126"/>
      <c r="E121" s="126"/>
      <c r="F121" s="126"/>
      <c r="G121" s="126"/>
      <c r="H121" s="126"/>
      <c r="I121" s="101">
        <v>6.7900000000000002E-2</v>
      </c>
      <c r="J121" s="76">
        <f>ROUND(I121*J120,2)</f>
        <v>303.86</v>
      </c>
    </row>
    <row r="122" spans="1:10" ht="12.75" customHeight="1" x14ac:dyDescent="0.2">
      <c r="A122" s="135" t="s">
        <v>95</v>
      </c>
      <c r="B122" s="135"/>
      <c r="C122" s="135"/>
      <c r="D122" s="135"/>
      <c r="E122" s="135"/>
      <c r="F122" s="135"/>
      <c r="G122" s="135"/>
      <c r="H122" s="135"/>
      <c r="I122" s="100" t="s">
        <v>54</v>
      </c>
      <c r="J122" s="99">
        <f>SUM(J29+J70+J80+J106+J114+J119+J121)</f>
        <v>4779.0256250000002</v>
      </c>
    </row>
    <row r="123" spans="1:10" x14ac:dyDescent="0.2">
      <c r="A123" s="67" t="s">
        <v>8</v>
      </c>
      <c r="B123" s="126" t="s">
        <v>96</v>
      </c>
      <c r="C123" s="126"/>
      <c r="D123" s="126"/>
      <c r="E123" s="126"/>
      <c r="F123" s="126"/>
      <c r="G123" s="126"/>
      <c r="H123" s="126"/>
      <c r="I123" s="68" t="s">
        <v>54</v>
      </c>
      <c r="J123" s="83" t="s">
        <v>54</v>
      </c>
    </row>
    <row r="124" spans="1:10" x14ac:dyDescent="0.2">
      <c r="A124" s="67"/>
      <c r="B124" s="126" t="s">
        <v>97</v>
      </c>
      <c r="C124" s="126"/>
      <c r="D124" s="126"/>
      <c r="E124" s="126"/>
      <c r="F124" s="126"/>
      <c r="G124" s="126"/>
      <c r="H124" s="126"/>
      <c r="I124" s="68" t="s">
        <v>54</v>
      </c>
      <c r="J124" s="83" t="s">
        <v>54</v>
      </c>
    </row>
    <row r="125" spans="1:10" x14ac:dyDescent="0.2">
      <c r="A125" s="67"/>
      <c r="B125" s="126" t="s">
        <v>175</v>
      </c>
      <c r="C125" s="126"/>
      <c r="D125" s="126"/>
      <c r="E125" s="126"/>
      <c r="F125" s="126"/>
      <c r="G125" s="126"/>
      <c r="H125" s="126"/>
      <c r="I125" s="64">
        <v>7.5999999999999998E-2</v>
      </c>
      <c r="J125" s="76">
        <f>ROUND(($J$122/(1-$I$134))*I125,2)</f>
        <v>416.28</v>
      </c>
    </row>
    <row r="126" spans="1:10" x14ac:dyDescent="0.2">
      <c r="A126" s="67"/>
      <c r="B126" s="126" t="s">
        <v>176</v>
      </c>
      <c r="C126" s="126"/>
      <c r="D126" s="126"/>
      <c r="E126" s="126"/>
      <c r="F126" s="126"/>
      <c r="G126" s="126"/>
      <c r="H126" s="126"/>
      <c r="I126" s="64">
        <v>1.6500000000000001E-2</v>
      </c>
      <c r="J126" s="76">
        <f>ROUND(($J$122/(1-$I$134))*I126,2)</f>
        <v>90.38</v>
      </c>
    </row>
    <row r="127" spans="1:10" ht="27.6" customHeight="1" x14ac:dyDescent="0.2">
      <c r="A127" s="67"/>
      <c r="B127" s="114" t="s">
        <v>98</v>
      </c>
      <c r="C127" s="114"/>
      <c r="D127" s="114"/>
      <c r="E127" s="114"/>
      <c r="F127" s="114"/>
      <c r="G127" s="114"/>
      <c r="H127" s="114"/>
      <c r="I127" s="102" t="s">
        <v>54</v>
      </c>
      <c r="J127" s="83" t="s">
        <v>54</v>
      </c>
    </row>
    <row r="128" spans="1:10" ht="27.6" customHeight="1" x14ac:dyDescent="0.2">
      <c r="A128" s="67"/>
      <c r="B128" s="114" t="s">
        <v>99</v>
      </c>
      <c r="C128" s="114"/>
      <c r="D128" s="114"/>
      <c r="E128" s="114"/>
      <c r="F128" s="114"/>
      <c r="G128" s="114"/>
      <c r="H128" s="114"/>
      <c r="I128" s="102" t="s">
        <v>54</v>
      </c>
      <c r="J128" s="83" t="s">
        <v>54</v>
      </c>
    </row>
    <row r="129" spans="1:10" x14ac:dyDescent="0.2">
      <c r="A129" s="67"/>
      <c r="B129" s="126" t="s">
        <v>100</v>
      </c>
      <c r="C129" s="126"/>
      <c r="D129" s="126"/>
      <c r="E129" s="126"/>
      <c r="F129" s="126"/>
      <c r="G129" s="126"/>
      <c r="H129" s="126"/>
      <c r="I129" s="102" t="s">
        <v>54</v>
      </c>
      <c r="J129" s="83" t="s">
        <v>54</v>
      </c>
    </row>
    <row r="130" spans="1:10" x14ac:dyDescent="0.2">
      <c r="A130" s="67"/>
      <c r="B130" s="126" t="s">
        <v>101</v>
      </c>
      <c r="C130" s="126"/>
      <c r="D130" s="126"/>
      <c r="E130" s="126"/>
      <c r="F130" s="126"/>
      <c r="G130" s="126"/>
      <c r="H130" s="126"/>
      <c r="I130" s="102" t="s">
        <v>54</v>
      </c>
      <c r="J130" s="83" t="s">
        <v>54</v>
      </c>
    </row>
    <row r="131" spans="1:10" x14ac:dyDescent="0.2">
      <c r="A131" s="67"/>
      <c r="B131" s="126" t="s">
        <v>118</v>
      </c>
      <c r="C131" s="126"/>
      <c r="D131" s="126"/>
      <c r="E131" s="126"/>
      <c r="F131" s="126"/>
      <c r="G131" s="126"/>
      <c r="H131" s="126"/>
      <c r="I131" s="64">
        <v>3.5000000000000003E-2</v>
      </c>
      <c r="J131" s="76">
        <f>ROUND(($J$122/(1-$I$134))*I131,2)</f>
        <v>191.71</v>
      </c>
    </row>
    <row r="132" spans="1:10" x14ac:dyDescent="0.2">
      <c r="A132" s="129" t="s">
        <v>31</v>
      </c>
      <c r="B132" s="129"/>
      <c r="C132" s="129"/>
      <c r="D132" s="129"/>
      <c r="E132" s="129"/>
      <c r="F132" s="129"/>
      <c r="G132" s="129"/>
      <c r="H132" s="129"/>
      <c r="I132" s="129"/>
      <c r="J132" s="73">
        <f>SUM(J119+J121+J125+J126+J131)</f>
        <v>1215.33</v>
      </c>
    </row>
    <row r="133" spans="1:10" x14ac:dyDescent="0.2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</row>
    <row r="134" spans="1:10" ht="14.65" customHeight="1" x14ac:dyDescent="0.2">
      <c r="A134" s="121" t="s">
        <v>102</v>
      </c>
      <c r="B134" s="121"/>
      <c r="C134" s="121"/>
      <c r="D134" s="121"/>
      <c r="E134" s="121"/>
      <c r="F134" s="121"/>
      <c r="G134" s="121"/>
      <c r="H134" s="121"/>
      <c r="I134" s="103">
        <f>SUM(I125:I131)</f>
        <v>0.1275</v>
      </c>
      <c r="J134" s="99">
        <f>SUM(J125:J131)</f>
        <v>698.37</v>
      </c>
    </row>
    <row r="135" spans="1:10" x14ac:dyDescent="0.2">
      <c r="A135" s="138" t="s">
        <v>103</v>
      </c>
      <c r="B135" s="138"/>
      <c r="C135" s="138"/>
      <c r="D135" s="131" t="s">
        <v>104</v>
      </c>
      <c r="E135" s="131"/>
      <c r="F135" s="131"/>
      <c r="G135" s="131"/>
      <c r="H135" s="131"/>
      <c r="I135" s="131"/>
      <c r="J135" s="131"/>
    </row>
    <row r="136" spans="1:10" x14ac:dyDescent="0.2">
      <c r="A136" s="138"/>
      <c r="B136" s="138"/>
      <c r="C136" s="138"/>
      <c r="D136" s="131" t="s">
        <v>105</v>
      </c>
      <c r="E136" s="131"/>
      <c r="F136" s="131"/>
      <c r="G136" s="131"/>
      <c r="H136" s="131"/>
      <c r="I136" s="131"/>
      <c r="J136" s="131"/>
    </row>
    <row r="137" spans="1:10" x14ac:dyDescent="0.2">
      <c r="A137" s="138"/>
      <c r="B137" s="138"/>
      <c r="C137" s="138"/>
      <c r="D137" s="131" t="s">
        <v>106</v>
      </c>
      <c r="E137" s="131"/>
      <c r="F137" s="131"/>
      <c r="G137" s="131"/>
      <c r="H137" s="131"/>
      <c r="I137" s="131"/>
      <c r="J137" s="131"/>
    </row>
    <row r="138" spans="1:10" x14ac:dyDescent="0.2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</row>
    <row r="139" spans="1:10" ht="45.95" customHeight="1" x14ac:dyDescent="0.2">
      <c r="A139" s="136" t="s">
        <v>107</v>
      </c>
      <c r="B139" s="136"/>
      <c r="C139" s="136"/>
      <c r="D139" s="136"/>
      <c r="E139" s="136"/>
      <c r="F139" s="136"/>
      <c r="G139" s="136"/>
      <c r="H139" s="136"/>
      <c r="I139" s="136"/>
      <c r="J139" s="136"/>
    </row>
    <row r="140" spans="1:10" ht="14.65" customHeight="1" x14ac:dyDescent="0.2">
      <c r="A140" s="139" t="s">
        <v>108</v>
      </c>
      <c r="B140" s="139"/>
      <c r="C140" s="139"/>
      <c r="D140" s="139"/>
      <c r="E140" s="139"/>
      <c r="F140" s="139"/>
      <c r="G140" s="139"/>
      <c r="H140" s="139"/>
      <c r="I140" s="139"/>
      <c r="J140" s="61" t="s">
        <v>30</v>
      </c>
    </row>
    <row r="141" spans="1:10" ht="14.65" customHeight="1" x14ac:dyDescent="0.2">
      <c r="A141" s="104" t="s">
        <v>4</v>
      </c>
      <c r="B141" s="136" t="s">
        <v>109</v>
      </c>
      <c r="C141" s="136"/>
      <c r="D141" s="136"/>
      <c r="E141" s="136"/>
      <c r="F141" s="136"/>
      <c r="G141" s="136"/>
      <c r="H141" s="136"/>
      <c r="I141" s="136"/>
      <c r="J141" s="87">
        <f>J29</f>
        <v>1984.3</v>
      </c>
    </row>
    <row r="142" spans="1:10" ht="14.65" customHeight="1" x14ac:dyDescent="0.2">
      <c r="A142" s="104" t="s">
        <v>6</v>
      </c>
      <c r="B142" s="136" t="s">
        <v>27</v>
      </c>
      <c r="C142" s="136"/>
      <c r="D142" s="136"/>
      <c r="E142" s="136"/>
      <c r="F142" s="136"/>
      <c r="G142" s="136"/>
      <c r="H142" s="136"/>
      <c r="I142" s="136"/>
      <c r="J142" s="87">
        <f>J70</f>
        <v>1680.33</v>
      </c>
    </row>
    <row r="143" spans="1:10" ht="14.65" customHeight="1" x14ac:dyDescent="0.2">
      <c r="A143" s="104" t="s">
        <v>8</v>
      </c>
      <c r="B143" s="136" t="s">
        <v>110</v>
      </c>
      <c r="C143" s="136"/>
      <c r="D143" s="136"/>
      <c r="E143" s="136"/>
      <c r="F143" s="136"/>
      <c r="G143" s="136"/>
      <c r="H143" s="136"/>
      <c r="I143" s="136"/>
      <c r="J143" s="87">
        <f>J80</f>
        <v>113.81</v>
      </c>
    </row>
    <row r="144" spans="1:10" ht="14.65" customHeight="1" x14ac:dyDescent="0.2">
      <c r="A144" s="104" t="s">
        <v>10</v>
      </c>
      <c r="B144" s="136" t="s">
        <v>111</v>
      </c>
      <c r="C144" s="136"/>
      <c r="D144" s="136"/>
      <c r="E144" s="136"/>
      <c r="F144" s="136"/>
      <c r="G144" s="136"/>
      <c r="H144" s="136"/>
      <c r="I144" s="136"/>
      <c r="J144" s="87">
        <f>J106</f>
        <v>322.40000000000003</v>
      </c>
    </row>
    <row r="145" spans="1:10" ht="14.65" customHeight="1" x14ac:dyDescent="0.2">
      <c r="A145" s="104" t="s">
        <v>24</v>
      </c>
      <c r="B145" s="136" t="s">
        <v>112</v>
      </c>
      <c r="C145" s="136"/>
      <c r="D145" s="136"/>
      <c r="E145" s="136"/>
      <c r="F145" s="136"/>
      <c r="G145" s="136"/>
      <c r="H145" s="136"/>
      <c r="I145" s="136"/>
      <c r="J145" s="87">
        <f>J114</f>
        <v>161.22562500000001</v>
      </c>
    </row>
    <row r="146" spans="1:10" ht="14.65" customHeight="1" x14ac:dyDescent="0.2">
      <c r="A146" s="137" t="s">
        <v>113</v>
      </c>
      <c r="B146" s="137"/>
      <c r="C146" s="137"/>
      <c r="D146" s="137"/>
      <c r="E146" s="137"/>
      <c r="F146" s="137"/>
      <c r="G146" s="137"/>
      <c r="H146" s="137"/>
      <c r="I146" s="137"/>
      <c r="J146" s="96">
        <f>SUM(J141:J145)</f>
        <v>4262.0656250000002</v>
      </c>
    </row>
    <row r="147" spans="1:10" ht="14.65" customHeight="1" x14ac:dyDescent="0.2">
      <c r="A147" s="104" t="s">
        <v>44</v>
      </c>
      <c r="B147" s="136" t="s">
        <v>114</v>
      </c>
      <c r="C147" s="136"/>
      <c r="D147" s="136"/>
      <c r="E147" s="136"/>
      <c r="F147" s="136"/>
      <c r="G147" s="136"/>
      <c r="H147" s="136"/>
      <c r="I147" s="136"/>
      <c r="J147" s="87">
        <f>J132</f>
        <v>1215.33</v>
      </c>
    </row>
    <row r="148" spans="1:10" ht="14.65" customHeight="1" x14ac:dyDescent="0.2">
      <c r="A148" s="137" t="s">
        <v>115</v>
      </c>
      <c r="B148" s="137"/>
      <c r="C148" s="137"/>
      <c r="D148" s="137"/>
      <c r="E148" s="137"/>
      <c r="F148" s="137"/>
      <c r="G148" s="137"/>
      <c r="H148" s="137"/>
      <c r="I148" s="137"/>
      <c r="J148" s="96">
        <f>SUM(J146:J147)</f>
        <v>5477.3956250000001</v>
      </c>
    </row>
    <row r="150" spans="1:10" x14ac:dyDescent="0.2">
      <c r="A150" s="165" t="s">
        <v>200</v>
      </c>
      <c r="B150" s="165"/>
      <c r="C150" s="165"/>
      <c r="D150" s="165"/>
      <c r="E150" s="165"/>
      <c r="F150" s="165"/>
      <c r="G150" s="165"/>
      <c r="H150" s="165"/>
      <c r="I150" s="165"/>
      <c r="J150" s="165"/>
    </row>
    <row r="151" spans="1:10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</row>
    <row r="152" spans="1:10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</row>
    <row r="153" spans="1:10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</row>
    <row r="154" spans="1:10" ht="48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</row>
  </sheetData>
  <mergeCells count="162">
    <mergeCell ref="A150:J154"/>
    <mergeCell ref="B142:I142"/>
    <mergeCell ref="B143:I143"/>
    <mergeCell ref="B144:I144"/>
    <mergeCell ref="B145:I145"/>
    <mergeCell ref="A146:I146"/>
    <mergeCell ref="B147:I147"/>
    <mergeCell ref="A148:I148"/>
    <mergeCell ref="A134:H134"/>
    <mergeCell ref="A135:C137"/>
    <mergeCell ref="D135:J135"/>
    <mergeCell ref="D136:J136"/>
    <mergeCell ref="D137:J137"/>
    <mergeCell ref="A138:J138"/>
    <mergeCell ref="A139:J139"/>
    <mergeCell ref="A140:I140"/>
    <mergeCell ref="B141:I141"/>
    <mergeCell ref="B125:H125"/>
    <mergeCell ref="B126:H126"/>
    <mergeCell ref="B127:H127"/>
    <mergeCell ref="B128:H128"/>
    <mergeCell ref="B129:H129"/>
    <mergeCell ref="B130:H130"/>
    <mergeCell ref="B131:H131"/>
    <mergeCell ref="A132:I132"/>
    <mergeCell ref="A133:J133"/>
    <mergeCell ref="A116:J116"/>
    <mergeCell ref="B117:H117"/>
    <mergeCell ref="A118:H118"/>
    <mergeCell ref="B119:H119"/>
    <mergeCell ref="A120:H120"/>
    <mergeCell ref="B121:H121"/>
    <mergeCell ref="A122:H122"/>
    <mergeCell ref="B123:H123"/>
    <mergeCell ref="B124:H124"/>
    <mergeCell ref="A107:J107"/>
    <mergeCell ref="A108:J108"/>
    <mergeCell ref="B109:I109"/>
    <mergeCell ref="B110:I110"/>
    <mergeCell ref="B111:I111"/>
    <mergeCell ref="B112:I112"/>
    <mergeCell ref="B113:I113"/>
    <mergeCell ref="A114:I114"/>
    <mergeCell ref="A115:J115"/>
    <mergeCell ref="A98:I98"/>
    <mergeCell ref="B99:I99"/>
    <mergeCell ref="A100:I100"/>
    <mergeCell ref="A101:J101"/>
    <mergeCell ref="A102:J102"/>
    <mergeCell ref="B103:I103"/>
    <mergeCell ref="B104:I104"/>
    <mergeCell ref="B105:I105"/>
    <mergeCell ref="A106:I106"/>
    <mergeCell ref="B89:I89"/>
    <mergeCell ref="B90:I90"/>
    <mergeCell ref="B91:I91"/>
    <mergeCell ref="A92:I92"/>
    <mergeCell ref="B93:I93"/>
    <mergeCell ref="A94:I94"/>
    <mergeCell ref="A95:J95"/>
    <mergeCell ref="B96:I96"/>
    <mergeCell ref="B97:I97"/>
    <mergeCell ref="A80:I80"/>
    <mergeCell ref="A81:J81"/>
    <mergeCell ref="A82:J82"/>
    <mergeCell ref="A83:I83"/>
    <mergeCell ref="A84:J84"/>
    <mergeCell ref="B85:I85"/>
    <mergeCell ref="B86:H86"/>
    <mergeCell ref="B87:I87"/>
    <mergeCell ref="B88:I88"/>
    <mergeCell ref="A71:J71"/>
    <mergeCell ref="A72:J72"/>
    <mergeCell ref="B73:I73"/>
    <mergeCell ref="B74:I74"/>
    <mergeCell ref="B75:I75"/>
    <mergeCell ref="B76:H76"/>
    <mergeCell ref="B77:I77"/>
    <mergeCell ref="B78:I78"/>
    <mergeCell ref="B79:H79"/>
    <mergeCell ref="B62:I62"/>
    <mergeCell ref="A63:I63"/>
    <mergeCell ref="A64:J64"/>
    <mergeCell ref="A65:J65"/>
    <mergeCell ref="B66:I66"/>
    <mergeCell ref="C67:I67"/>
    <mergeCell ref="C68:I68"/>
    <mergeCell ref="C69:I69"/>
    <mergeCell ref="A70:I70"/>
    <mergeCell ref="B53:I53"/>
    <mergeCell ref="B54:I54"/>
    <mergeCell ref="B55:H55"/>
    <mergeCell ref="B56:H56"/>
    <mergeCell ref="B57:H57"/>
    <mergeCell ref="B58:I58"/>
    <mergeCell ref="B59:H59"/>
    <mergeCell ref="B60:H60"/>
    <mergeCell ref="B61:I61"/>
    <mergeCell ref="B44:D44"/>
    <mergeCell ref="B45:H45"/>
    <mergeCell ref="B46:H46"/>
    <mergeCell ref="B47:H47"/>
    <mergeCell ref="B48:H48"/>
    <mergeCell ref="B49:H49"/>
    <mergeCell ref="A50:H50"/>
    <mergeCell ref="A51:J51"/>
    <mergeCell ref="A52:J52"/>
    <mergeCell ref="B35:H35"/>
    <mergeCell ref="A36:I36"/>
    <mergeCell ref="B37:I37"/>
    <mergeCell ref="A38:I38"/>
    <mergeCell ref="A39:J39"/>
    <mergeCell ref="A40:J40"/>
    <mergeCell ref="B41:H41"/>
    <mergeCell ref="B42:H42"/>
    <mergeCell ref="B43:H43"/>
    <mergeCell ref="B26:I26"/>
    <mergeCell ref="B27:I27"/>
    <mergeCell ref="B28:H28"/>
    <mergeCell ref="A29:I29"/>
    <mergeCell ref="A30:J30"/>
    <mergeCell ref="A31:J31"/>
    <mergeCell ref="A32:J32"/>
    <mergeCell ref="B33:I33"/>
    <mergeCell ref="B34:H34"/>
    <mergeCell ref="B19:G19"/>
    <mergeCell ref="H19:J19"/>
    <mergeCell ref="A20:J20"/>
    <mergeCell ref="A21:J21"/>
    <mergeCell ref="B22:G22"/>
    <mergeCell ref="H22:I22"/>
    <mergeCell ref="B23:I23"/>
    <mergeCell ref="B24:H24"/>
    <mergeCell ref="B25:I25"/>
    <mergeCell ref="A14:J14"/>
    <mergeCell ref="B15:G15"/>
    <mergeCell ref="H15:J15"/>
    <mergeCell ref="B16:G16"/>
    <mergeCell ref="H16:J16"/>
    <mergeCell ref="B17:G17"/>
    <mergeCell ref="H17:J17"/>
    <mergeCell ref="B18:G18"/>
    <mergeCell ref="H18:J18"/>
    <mergeCell ref="B8:G8"/>
    <mergeCell ref="H8:J8"/>
    <mergeCell ref="B9:G9"/>
    <mergeCell ref="H9:J9"/>
    <mergeCell ref="B10:G10"/>
    <mergeCell ref="H10:J10"/>
    <mergeCell ref="A11:J11"/>
    <mergeCell ref="A12:J12"/>
    <mergeCell ref="A13:J13"/>
    <mergeCell ref="A1:J1"/>
    <mergeCell ref="A2:J2"/>
    <mergeCell ref="A3:G3"/>
    <mergeCell ref="H3:J3"/>
    <mergeCell ref="A4:G4"/>
    <mergeCell ref="H4:J4"/>
    <mergeCell ref="A5:J5"/>
    <mergeCell ref="A6:J6"/>
    <mergeCell ref="B7:G7"/>
    <mergeCell ref="H7:J7"/>
  </mergeCells>
  <pageMargins left="0.78749999999999998" right="0.78749999999999998" top="1.05277777777778" bottom="1.05277777777778" header="0.78749999999999998" footer="0.78749999999999998"/>
  <pageSetup paperSize="9" scale="72" firstPageNumber="0" fitToHeight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2" manualBreakCount="2">
    <brk id="39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64"/>
  <sheetViews>
    <sheetView showGridLines="0" view="pageBreakPreview" topLeftCell="A7" zoomScaleNormal="100" zoomScaleSheetLayoutView="100" zoomScalePageLayoutView="118" workbookViewId="0">
      <selection sqref="A1:XFD1048576"/>
    </sheetView>
  </sheetViews>
  <sheetFormatPr defaultRowHeight="12.75" x14ac:dyDescent="0.2"/>
  <cols>
    <col min="1" max="1" width="71.42578125" style="2" customWidth="1"/>
    <col min="2" max="2" width="9.140625" style="3" customWidth="1"/>
    <col min="3" max="3" width="9.7109375" style="3" customWidth="1"/>
    <col min="4" max="4" width="9.5703125" style="3" customWidth="1"/>
    <col min="5" max="5" width="11.42578125" style="4" customWidth="1"/>
    <col min="6" max="6" width="9.140625" style="4" customWidth="1"/>
    <col min="7" max="7" width="11.42578125" style="2" customWidth="1"/>
    <col min="8" max="1025" width="9" style="2" customWidth="1"/>
  </cols>
  <sheetData>
    <row r="1" spans="1:7" ht="65.25" customHeight="1" x14ac:dyDescent="0.2">
      <c r="A1" s="5" t="s">
        <v>155</v>
      </c>
      <c r="B1" s="6" t="s">
        <v>120</v>
      </c>
      <c r="C1" s="6" t="s">
        <v>121</v>
      </c>
      <c r="D1" s="6" t="s">
        <v>122</v>
      </c>
      <c r="E1" s="6" t="s">
        <v>123</v>
      </c>
      <c r="F1" s="7" t="s">
        <v>124</v>
      </c>
      <c r="G1" s="7" t="s">
        <v>125</v>
      </c>
    </row>
    <row r="2" spans="1:7" x14ac:dyDescent="0.2">
      <c r="A2" s="8" t="s">
        <v>152</v>
      </c>
      <c r="B2" s="9" t="s">
        <v>126</v>
      </c>
      <c r="C2" s="17">
        <v>1</v>
      </c>
      <c r="D2" s="10">
        <v>24</v>
      </c>
      <c r="E2" s="11">
        <f>12/D2*C2</f>
        <v>0.5</v>
      </c>
      <c r="F2" s="12">
        <v>1606.35</v>
      </c>
      <c r="G2" s="13">
        <f>E2*F2</f>
        <v>803.17499999999995</v>
      </c>
    </row>
    <row r="3" spans="1:7" x14ac:dyDescent="0.2">
      <c r="A3" s="8"/>
      <c r="B3" s="9"/>
      <c r="C3" s="17"/>
      <c r="D3" s="10"/>
      <c r="E3" s="11"/>
      <c r="F3" s="12"/>
      <c r="G3" s="13"/>
    </row>
    <row r="4" spans="1:7" x14ac:dyDescent="0.2">
      <c r="A4" s="140" t="s">
        <v>181</v>
      </c>
      <c r="B4" s="140"/>
      <c r="C4" s="140"/>
      <c r="D4" s="140"/>
      <c r="E4" s="140"/>
      <c r="F4" s="140"/>
      <c r="G4" s="14">
        <f>SUM(G2:G3)</f>
        <v>803.17499999999995</v>
      </c>
    </row>
    <row r="5" spans="1:7" x14ac:dyDescent="0.2">
      <c r="A5" s="140" t="s">
        <v>182</v>
      </c>
      <c r="B5" s="140"/>
      <c r="C5" s="140"/>
      <c r="D5" s="140"/>
      <c r="E5" s="140"/>
      <c r="F5" s="140"/>
      <c r="G5" s="14">
        <f>G4/12</f>
        <v>66.931249999999991</v>
      </c>
    </row>
    <row r="7" spans="1:7" ht="25.5" x14ac:dyDescent="0.2">
      <c r="A7" s="15" t="s">
        <v>156</v>
      </c>
      <c r="B7" s="6" t="s">
        <v>120</v>
      </c>
      <c r="C7" s="6" t="s">
        <v>123</v>
      </c>
      <c r="D7" s="7" t="s">
        <v>124</v>
      </c>
      <c r="E7" s="7" t="s">
        <v>125</v>
      </c>
    </row>
    <row r="8" spans="1:7" x14ac:dyDescent="0.2">
      <c r="A8" s="16"/>
      <c r="B8" s="9"/>
      <c r="C8" s="11"/>
      <c r="D8" s="12"/>
      <c r="E8" s="18">
        <f t="shared" ref="E8:E16" si="0">C8*D8</f>
        <v>0</v>
      </c>
    </row>
    <row r="9" spans="1:7" x14ac:dyDescent="0.2">
      <c r="A9" s="16"/>
      <c r="B9" s="9"/>
      <c r="C9" s="11"/>
      <c r="D9" s="12"/>
      <c r="E9" s="18">
        <f t="shared" ref="E9:E15" si="1">C9*D9</f>
        <v>0</v>
      </c>
    </row>
    <row r="10" spans="1:7" x14ac:dyDescent="0.2">
      <c r="A10" s="16"/>
      <c r="B10" s="9"/>
      <c r="C10" s="11"/>
      <c r="D10" s="12"/>
      <c r="E10" s="18">
        <f t="shared" si="1"/>
        <v>0</v>
      </c>
    </row>
    <row r="11" spans="1:7" x14ac:dyDescent="0.2">
      <c r="A11" s="16"/>
      <c r="B11" s="9"/>
      <c r="C11" s="11"/>
      <c r="D11" s="12"/>
      <c r="E11" s="18">
        <f t="shared" si="1"/>
        <v>0</v>
      </c>
    </row>
    <row r="12" spans="1:7" x14ac:dyDescent="0.2">
      <c r="A12" s="16"/>
      <c r="B12" s="9"/>
      <c r="C12" s="11"/>
      <c r="D12" s="12"/>
      <c r="E12" s="18">
        <f t="shared" si="1"/>
        <v>0</v>
      </c>
    </row>
    <row r="13" spans="1:7" x14ac:dyDescent="0.2">
      <c r="A13" s="16"/>
      <c r="B13" s="9"/>
      <c r="C13" s="11"/>
      <c r="D13" s="12"/>
      <c r="E13" s="18">
        <f t="shared" si="1"/>
        <v>0</v>
      </c>
    </row>
    <row r="14" spans="1:7" x14ac:dyDescent="0.2">
      <c r="A14" s="16"/>
      <c r="B14" s="9"/>
      <c r="C14" s="11"/>
      <c r="D14" s="12"/>
      <c r="E14" s="18">
        <f t="shared" si="1"/>
        <v>0</v>
      </c>
    </row>
    <row r="15" spans="1:7" x14ac:dyDescent="0.2">
      <c r="A15" s="16"/>
      <c r="B15" s="9"/>
      <c r="C15" s="11"/>
      <c r="D15" s="12"/>
      <c r="E15" s="18">
        <f t="shared" si="1"/>
        <v>0</v>
      </c>
    </row>
    <row r="16" spans="1:7" x14ac:dyDescent="0.2">
      <c r="A16" s="19"/>
      <c r="B16" s="20"/>
      <c r="C16" s="21"/>
      <c r="D16" s="22"/>
      <c r="E16" s="23">
        <f t="shared" si="0"/>
        <v>0</v>
      </c>
    </row>
    <row r="17" spans="1:5" x14ac:dyDescent="0.2">
      <c r="A17" s="141" t="s">
        <v>153</v>
      </c>
      <c r="B17" s="141"/>
      <c r="C17" s="141"/>
      <c r="D17" s="141"/>
      <c r="E17" s="24">
        <f>SUM(E8:E16)</f>
        <v>0</v>
      </c>
    </row>
    <row r="18" spans="1:5" x14ac:dyDescent="0.2">
      <c r="A18" s="140" t="s">
        <v>154</v>
      </c>
      <c r="B18" s="140"/>
      <c r="C18" s="140"/>
      <c r="D18" s="140"/>
      <c r="E18" s="25">
        <f>E17/12</f>
        <v>0</v>
      </c>
    </row>
    <row r="20" spans="1:5" s="2" customFormat="1" x14ac:dyDescent="0.2"/>
    <row r="21" spans="1:5" s="2" customFormat="1" ht="25.5" x14ac:dyDescent="0.2">
      <c r="A21" s="15" t="s">
        <v>178</v>
      </c>
      <c r="B21" s="6" t="s">
        <v>120</v>
      </c>
      <c r="C21" s="6" t="s">
        <v>123</v>
      </c>
      <c r="D21" s="7" t="s">
        <v>124</v>
      </c>
      <c r="E21" s="7" t="s">
        <v>125</v>
      </c>
    </row>
    <row r="22" spans="1:5" s="2" customFormat="1" ht="18" x14ac:dyDescent="0.2">
      <c r="A22" s="107" t="s">
        <v>194</v>
      </c>
      <c r="B22" s="6"/>
      <c r="C22" s="6"/>
      <c r="D22" s="7"/>
      <c r="E22" s="7"/>
    </row>
    <row r="23" spans="1:5" s="2" customFormat="1" x14ac:dyDescent="0.2">
      <c r="A23" s="16" t="s">
        <v>192</v>
      </c>
      <c r="B23" s="9" t="s">
        <v>179</v>
      </c>
      <c r="C23" s="17">
        <v>2</v>
      </c>
      <c r="D23" s="12">
        <v>34.97</v>
      </c>
      <c r="E23" s="18">
        <f>D23*C23</f>
        <v>69.94</v>
      </c>
    </row>
    <row r="24" spans="1:5" s="2" customFormat="1" x14ac:dyDescent="0.2">
      <c r="A24" s="57" t="s">
        <v>191</v>
      </c>
      <c r="B24" s="9" t="s">
        <v>179</v>
      </c>
      <c r="C24" s="17">
        <v>2</v>
      </c>
      <c r="D24" s="12">
        <v>103.09</v>
      </c>
      <c r="E24" s="18">
        <f t="shared" ref="E24:E31" si="2">D24*C24</f>
        <v>206.18</v>
      </c>
    </row>
    <row r="25" spans="1:5" s="2" customFormat="1" x14ac:dyDescent="0.2">
      <c r="A25" s="56" t="s">
        <v>193</v>
      </c>
      <c r="B25" s="9" t="s">
        <v>179</v>
      </c>
      <c r="C25" s="17">
        <v>2</v>
      </c>
      <c r="D25" s="12">
        <v>174.86</v>
      </c>
      <c r="E25" s="18">
        <f t="shared" si="2"/>
        <v>349.72</v>
      </c>
    </row>
    <row r="26" spans="1:5" s="2" customFormat="1" ht="18" x14ac:dyDescent="0.2">
      <c r="A26" s="108" t="s">
        <v>195</v>
      </c>
      <c r="B26" s="110"/>
      <c r="C26" s="111"/>
      <c r="D26" s="12"/>
      <c r="E26" s="18"/>
    </row>
    <row r="27" spans="1:5" s="2" customFormat="1" x14ac:dyDescent="0.2">
      <c r="A27" s="16" t="s">
        <v>196</v>
      </c>
      <c r="B27" s="9" t="s">
        <v>179</v>
      </c>
      <c r="C27" s="17">
        <v>2</v>
      </c>
      <c r="D27" s="12">
        <v>32.99</v>
      </c>
      <c r="E27" s="18"/>
    </row>
    <row r="28" spans="1:5" s="2" customFormat="1" x14ac:dyDescent="0.2">
      <c r="A28" s="57" t="s">
        <v>191</v>
      </c>
      <c r="B28" s="9" t="s">
        <v>179</v>
      </c>
      <c r="C28" s="17">
        <v>2</v>
      </c>
      <c r="D28" s="12">
        <v>103.09</v>
      </c>
      <c r="E28" s="18">
        <f t="shared" si="2"/>
        <v>206.18</v>
      </c>
    </row>
    <row r="29" spans="1:5" s="2" customFormat="1" x14ac:dyDescent="0.2">
      <c r="A29" s="109" t="s">
        <v>197</v>
      </c>
      <c r="B29" s="9" t="s">
        <v>179</v>
      </c>
      <c r="C29" s="17">
        <v>2</v>
      </c>
      <c r="D29" s="12">
        <v>134.97999999999999</v>
      </c>
      <c r="E29" s="18">
        <f t="shared" si="2"/>
        <v>269.95999999999998</v>
      </c>
    </row>
    <row r="30" spans="1:5" s="2" customFormat="1" x14ac:dyDescent="0.2">
      <c r="A30" s="109" t="s">
        <v>198</v>
      </c>
      <c r="B30" s="9" t="s">
        <v>179</v>
      </c>
      <c r="C30" s="17">
        <v>2</v>
      </c>
      <c r="D30" s="12">
        <v>40.71</v>
      </c>
      <c r="E30" s="18">
        <f t="shared" si="2"/>
        <v>81.42</v>
      </c>
    </row>
    <row r="31" spans="1:5" s="2" customFormat="1" x14ac:dyDescent="0.2">
      <c r="A31" s="56" t="s">
        <v>193</v>
      </c>
      <c r="B31" s="9" t="s">
        <v>190</v>
      </c>
      <c r="C31" s="17">
        <v>2</v>
      </c>
      <c r="D31" s="12">
        <v>174.86</v>
      </c>
      <c r="E31" s="18">
        <f t="shared" si="2"/>
        <v>349.72</v>
      </c>
    </row>
    <row r="32" spans="1:5" s="2" customFormat="1" x14ac:dyDescent="0.2">
      <c r="A32" s="141" t="s">
        <v>157</v>
      </c>
      <c r="B32" s="141"/>
      <c r="C32" s="141"/>
      <c r="D32" s="141"/>
      <c r="E32" s="24">
        <f>SUM(E23:E31)</f>
        <v>1533.1200000000001</v>
      </c>
    </row>
    <row r="33" spans="1:8" s="2" customFormat="1" x14ac:dyDescent="0.2">
      <c r="A33" s="140" t="s">
        <v>158</v>
      </c>
      <c r="B33" s="140"/>
      <c r="C33" s="140"/>
      <c r="D33" s="140"/>
      <c r="E33" s="25">
        <f>E32/12</f>
        <v>127.76</v>
      </c>
    </row>
    <row r="34" spans="1:8" s="2" customFormat="1" x14ac:dyDescent="0.2"/>
    <row r="36" spans="1:8" ht="54" customHeight="1" x14ac:dyDescent="0.2">
      <c r="A36" s="26" t="s">
        <v>127</v>
      </c>
      <c r="B36" s="142" t="s">
        <v>128</v>
      </c>
      <c r="C36" s="142"/>
      <c r="D36" s="142" t="s">
        <v>129</v>
      </c>
      <c r="E36" s="142"/>
      <c r="F36" s="143" t="s">
        <v>130</v>
      </c>
      <c r="G36" s="143"/>
    </row>
    <row r="37" spans="1:8" x14ac:dyDescent="0.2">
      <c r="A37" s="14" t="s">
        <v>119</v>
      </c>
      <c r="B37" s="144"/>
      <c r="C37" s="144"/>
      <c r="D37" s="144"/>
      <c r="E37" s="144"/>
      <c r="F37" s="145"/>
      <c r="G37" s="145"/>
      <c r="H37" s="28"/>
    </row>
    <row r="38" spans="1:8" x14ac:dyDescent="0.2">
      <c r="A38" s="30"/>
      <c r="B38" s="31"/>
      <c r="C38" s="31">
        <f>G4</f>
        <v>803.17499999999995</v>
      </c>
      <c r="D38" s="148">
        <f t="shared" ref="D38" si="3">C38/12</f>
        <v>66.931249999999991</v>
      </c>
      <c r="E38" s="148"/>
      <c r="F38" s="53"/>
      <c r="G38" s="32">
        <f>D38/2</f>
        <v>33.465624999999996</v>
      </c>
      <c r="H38" s="28"/>
    </row>
    <row r="39" spans="1:8" x14ac:dyDescent="0.2">
      <c r="A39" s="146"/>
      <c r="B39" s="146"/>
      <c r="C39" s="146"/>
      <c r="D39" s="146"/>
      <c r="E39" s="146"/>
      <c r="F39" s="147"/>
      <c r="G39" s="147"/>
      <c r="H39" s="28"/>
    </row>
    <row r="40" spans="1:8" x14ac:dyDescent="0.2">
      <c r="A40" s="14" t="s">
        <v>147</v>
      </c>
      <c r="B40" s="144"/>
      <c r="C40" s="144"/>
      <c r="D40" s="144"/>
      <c r="E40" s="144"/>
      <c r="F40" s="145"/>
      <c r="G40" s="145"/>
      <c r="H40" s="28"/>
    </row>
    <row r="41" spans="1:8" x14ac:dyDescent="0.2">
      <c r="A41" s="30"/>
      <c r="B41" s="31"/>
      <c r="C41" s="31">
        <f>E17</f>
        <v>0</v>
      </c>
      <c r="D41" s="148">
        <f t="shared" ref="D41" si="4">C41/12</f>
        <v>0</v>
      </c>
      <c r="E41" s="148"/>
      <c r="F41" s="53"/>
      <c r="G41" s="32">
        <f t="shared" ref="G41" si="5">D41</f>
        <v>0</v>
      </c>
      <c r="H41" s="28"/>
    </row>
    <row r="42" spans="1:8" x14ac:dyDescent="0.2">
      <c r="A42" s="146"/>
      <c r="B42" s="146"/>
      <c r="C42" s="146"/>
      <c r="D42" s="146"/>
      <c r="E42" s="146"/>
      <c r="F42" s="147"/>
      <c r="G42" s="147"/>
      <c r="H42" s="28"/>
    </row>
    <row r="43" spans="1:8" x14ac:dyDescent="0.2">
      <c r="A43" s="29" t="s">
        <v>131</v>
      </c>
      <c r="B43" s="144"/>
      <c r="C43" s="144"/>
      <c r="D43" s="144"/>
      <c r="E43" s="144"/>
      <c r="F43" s="145"/>
      <c r="G43" s="145"/>
      <c r="H43" s="28"/>
    </row>
    <row r="44" spans="1:8" x14ac:dyDescent="0.2">
      <c r="A44" s="30"/>
      <c r="B44" s="31"/>
      <c r="C44" s="31">
        <f>E32</f>
        <v>1533.1200000000001</v>
      </c>
      <c r="D44" s="148">
        <f t="shared" ref="D44" si="6">C44/12</f>
        <v>127.76</v>
      </c>
      <c r="E44" s="148"/>
      <c r="F44" s="27"/>
      <c r="G44" s="32">
        <f t="shared" ref="G44" si="7">D44</f>
        <v>127.76</v>
      </c>
      <c r="H44" s="28"/>
    </row>
    <row r="45" spans="1:8" x14ac:dyDescent="0.2">
      <c r="A45" s="30"/>
      <c r="B45" s="31"/>
      <c r="C45" s="31"/>
      <c r="D45" s="55"/>
      <c r="E45" s="55"/>
      <c r="F45" s="54"/>
      <c r="G45" s="32">
        <f>SUM(G44:G44)</f>
        <v>127.76</v>
      </c>
      <c r="H45" s="28"/>
    </row>
    <row r="46" spans="1:8" x14ac:dyDescent="0.2">
      <c r="A46" s="146"/>
      <c r="B46" s="146"/>
      <c r="C46" s="146"/>
      <c r="D46" s="146"/>
      <c r="E46" s="146"/>
      <c r="F46" s="151"/>
      <c r="G46" s="151"/>
    </row>
    <row r="47" spans="1:8" ht="31.35" customHeight="1" x14ac:dyDescent="0.2">
      <c r="A47" s="14" t="s">
        <v>132</v>
      </c>
      <c r="B47" s="152">
        <f>SUM(C37,C44:C44)</f>
        <v>1533.1200000000001</v>
      </c>
      <c r="C47" s="152"/>
      <c r="D47" s="152">
        <f>B47/12</f>
        <v>127.76</v>
      </c>
      <c r="E47" s="152"/>
      <c r="F47" s="14"/>
      <c r="G47" s="33">
        <f>G38+G45</f>
        <v>161.22562500000001</v>
      </c>
    </row>
    <row r="48" spans="1:8" x14ac:dyDescent="0.2">
      <c r="A48" s="34"/>
      <c r="B48" s="35"/>
      <c r="C48" s="35"/>
      <c r="D48" s="35"/>
      <c r="E48" s="35"/>
    </row>
    <row r="49" spans="1:9" ht="19.5" x14ac:dyDescent="0.2">
      <c r="A49" s="149" t="s">
        <v>133</v>
      </c>
      <c r="B49" s="149"/>
      <c r="C49" s="149"/>
      <c r="D49" s="149"/>
      <c r="E49" s="149"/>
      <c r="F49" s="149"/>
      <c r="G49" s="36">
        <v>2</v>
      </c>
    </row>
    <row r="50" spans="1:9" x14ac:dyDescent="0.2">
      <c r="A50" s="150"/>
      <c r="B50" s="150"/>
      <c r="C50" s="150"/>
      <c r="D50" s="150"/>
      <c r="E50" s="150"/>
      <c r="F50" s="150"/>
      <c r="G50" s="150"/>
    </row>
    <row r="58" spans="1:9" x14ac:dyDescent="0.2">
      <c r="I58" s="37"/>
    </row>
    <row r="60" spans="1:9" x14ac:dyDescent="0.2">
      <c r="I60" s="37"/>
    </row>
    <row r="64" spans="1:9" x14ac:dyDescent="0.2">
      <c r="I64" s="37"/>
    </row>
  </sheetData>
  <mergeCells count="31">
    <mergeCell ref="D38:E38"/>
    <mergeCell ref="D40:E40"/>
    <mergeCell ref="F40:G40"/>
    <mergeCell ref="D41:E41"/>
    <mergeCell ref="A39:E39"/>
    <mergeCell ref="F39:G39"/>
    <mergeCell ref="B40:C40"/>
    <mergeCell ref="D44:E44"/>
    <mergeCell ref="A49:F49"/>
    <mergeCell ref="A50:G50"/>
    <mergeCell ref="A46:E46"/>
    <mergeCell ref="F46:G46"/>
    <mergeCell ref="B47:C47"/>
    <mergeCell ref="D47:E47"/>
    <mergeCell ref="A42:E42"/>
    <mergeCell ref="F42:G42"/>
    <mergeCell ref="B43:C43"/>
    <mergeCell ref="D43:E43"/>
    <mergeCell ref="F43:G43"/>
    <mergeCell ref="A33:D33"/>
    <mergeCell ref="B36:C36"/>
    <mergeCell ref="D36:E36"/>
    <mergeCell ref="F36:G36"/>
    <mergeCell ref="D37:E37"/>
    <mergeCell ref="F37:G37"/>
    <mergeCell ref="B37:C37"/>
    <mergeCell ref="A4:F4"/>
    <mergeCell ref="A5:F5"/>
    <mergeCell ref="A32:D32"/>
    <mergeCell ref="A17:D17"/>
    <mergeCell ref="A18:D18"/>
  </mergeCells>
  <pageMargins left="0.78749999999999998" right="0.78749999999999998" top="1.05277777777778" bottom="1.05277777777778" header="0.78749999999999998" footer="0.78749999999999998"/>
  <pageSetup paperSize="9" scale="65" firstPageNumber="0" fitToHeight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20"/>
  <sheetViews>
    <sheetView view="pageBreakPreview" zoomScale="102" zoomScaleNormal="100" zoomScaleSheetLayoutView="102" zoomScalePageLayoutView="118" workbookViewId="0">
      <selection activeCell="B16" sqref="B16"/>
    </sheetView>
  </sheetViews>
  <sheetFormatPr defaultRowHeight="12.75" x14ac:dyDescent="0.2"/>
  <cols>
    <col min="1" max="1" width="5.140625" customWidth="1"/>
    <col min="2" max="2" width="26.28515625" customWidth="1"/>
    <col min="3" max="3" width="16.28515625" customWidth="1"/>
    <col min="4" max="4" width="15.7109375" customWidth="1"/>
    <col min="5" max="5" width="16" customWidth="1"/>
    <col min="6" max="6" width="11" customWidth="1"/>
    <col min="7" max="7" width="27.42578125" customWidth="1"/>
    <col min="8" max="1024" width="8.7109375" customWidth="1"/>
  </cols>
  <sheetData>
    <row r="1" spans="1:7" ht="18" customHeight="1" x14ac:dyDescent="0.2">
      <c r="A1" s="153" t="s">
        <v>159</v>
      </c>
      <c r="B1" s="153"/>
      <c r="C1" s="153"/>
      <c r="D1" s="153"/>
      <c r="E1" s="153"/>
      <c r="F1" s="153"/>
      <c r="G1" s="153"/>
    </row>
    <row r="2" spans="1:7" ht="40.9" customHeight="1" x14ac:dyDescent="0.2">
      <c r="A2" s="154" t="s">
        <v>189</v>
      </c>
      <c r="B2" s="154"/>
      <c r="C2" s="154"/>
      <c r="D2" s="154"/>
      <c r="E2" s="154"/>
      <c r="F2" s="154"/>
      <c r="G2" s="154"/>
    </row>
    <row r="3" spans="1:7" ht="12.75" customHeight="1" x14ac:dyDescent="0.2">
      <c r="A3" s="155" t="s">
        <v>0</v>
      </c>
      <c r="B3" s="155"/>
      <c r="C3" s="155"/>
      <c r="D3" s="155"/>
      <c r="E3" s="155"/>
      <c r="F3" s="156" t="s">
        <v>134</v>
      </c>
      <c r="G3" s="156"/>
    </row>
    <row r="4" spans="1:7" ht="12.75" customHeight="1" x14ac:dyDescent="0.2">
      <c r="A4" s="155" t="s">
        <v>1</v>
      </c>
      <c r="B4" s="155"/>
      <c r="C4" s="155"/>
      <c r="D4" s="155"/>
      <c r="E4" s="155"/>
      <c r="F4" s="156"/>
      <c r="G4" s="156"/>
    </row>
    <row r="5" spans="1:7" ht="12.75" customHeight="1" x14ac:dyDescent="0.2">
      <c r="A5" s="155" t="s">
        <v>2</v>
      </c>
      <c r="B5" s="155"/>
      <c r="C5" s="155"/>
      <c r="D5" s="155"/>
      <c r="E5" s="155"/>
      <c r="F5" s="155"/>
      <c r="G5" s="155"/>
    </row>
    <row r="6" spans="1:7" ht="15" customHeight="1" x14ac:dyDescent="0.2">
      <c r="A6" s="157" t="s">
        <v>3</v>
      </c>
      <c r="B6" s="157"/>
      <c r="C6" s="157"/>
      <c r="D6" s="157"/>
      <c r="E6" s="157"/>
      <c r="F6" s="157"/>
      <c r="G6" s="157"/>
    </row>
    <row r="7" spans="1:7" ht="12.75" customHeight="1" x14ac:dyDescent="0.2">
      <c r="A7" s="1" t="s">
        <v>4</v>
      </c>
      <c r="B7" s="155" t="s">
        <v>5</v>
      </c>
      <c r="C7" s="155"/>
      <c r="D7" s="155"/>
      <c r="E7" s="155"/>
      <c r="F7" s="158"/>
      <c r="G7" s="158"/>
    </row>
    <row r="8" spans="1:7" ht="12.75" customHeight="1" x14ac:dyDescent="0.2">
      <c r="A8" s="1" t="s">
        <v>6</v>
      </c>
      <c r="B8" s="155" t="s">
        <v>7</v>
      </c>
      <c r="C8" s="155"/>
      <c r="D8" s="155"/>
      <c r="E8" s="155"/>
      <c r="F8" s="158" t="s">
        <v>148</v>
      </c>
      <c r="G8" s="158"/>
    </row>
    <row r="9" spans="1:7" ht="12.75" customHeight="1" x14ac:dyDescent="0.2">
      <c r="A9" s="1" t="s">
        <v>8</v>
      </c>
      <c r="B9" s="155" t="s">
        <v>9</v>
      </c>
      <c r="C9" s="155"/>
      <c r="D9" s="155"/>
      <c r="E9" s="155"/>
      <c r="F9" s="158"/>
      <c r="G9" s="158"/>
    </row>
    <row r="10" spans="1:7" ht="13.5" customHeight="1" thickBot="1" x14ac:dyDescent="0.25">
      <c r="A10" s="1" t="s">
        <v>10</v>
      </c>
      <c r="B10" s="155" t="s">
        <v>11</v>
      </c>
      <c r="C10" s="155"/>
      <c r="D10" s="155"/>
      <c r="E10" s="155"/>
      <c r="F10" s="156">
        <v>24</v>
      </c>
      <c r="G10" s="156"/>
    </row>
    <row r="11" spans="1:7" ht="18.75" customHeight="1" x14ac:dyDescent="0.2">
      <c r="A11" s="159" t="s">
        <v>135</v>
      </c>
      <c r="B11" s="159"/>
      <c r="C11" s="159"/>
      <c r="D11" s="159"/>
      <c r="E11" s="159"/>
      <c r="F11" s="159"/>
      <c r="G11" s="159"/>
    </row>
    <row r="12" spans="1:7" ht="76.5" customHeight="1" x14ac:dyDescent="0.2">
      <c r="A12" s="48"/>
      <c r="B12" s="49" t="s">
        <v>136</v>
      </c>
      <c r="C12" s="49" t="s">
        <v>137</v>
      </c>
      <c r="D12" s="49" t="s">
        <v>138</v>
      </c>
      <c r="E12" s="49" t="s">
        <v>139</v>
      </c>
      <c r="F12" s="49" t="s">
        <v>140</v>
      </c>
      <c r="G12" s="49" t="s">
        <v>160</v>
      </c>
    </row>
    <row r="13" spans="1:7" ht="15.75" customHeight="1" x14ac:dyDescent="0.2">
      <c r="A13" s="50" t="s">
        <v>141</v>
      </c>
      <c r="B13" s="51" t="s">
        <v>199</v>
      </c>
      <c r="C13" s="52">
        <f>COPEIRAGEM!J148</f>
        <v>5477.3956250000001</v>
      </c>
      <c r="D13" s="50">
        <v>1</v>
      </c>
      <c r="E13" s="52">
        <f>C13*D13</f>
        <v>5477.3956250000001</v>
      </c>
      <c r="F13" s="50">
        <v>2</v>
      </c>
      <c r="G13" s="52">
        <f t="shared" ref="G13" si="0">PRODUCT(E13:F13)</f>
        <v>10954.79125</v>
      </c>
    </row>
    <row r="15" spans="1:7" ht="13.5" thickBot="1" x14ac:dyDescent="0.25">
      <c r="A15" s="160" t="s">
        <v>142</v>
      </c>
      <c r="B15" s="160"/>
      <c r="C15" s="160"/>
      <c r="D15" s="160"/>
      <c r="E15" s="160"/>
      <c r="F15" s="160"/>
      <c r="G15" s="47">
        <f>SUM(G13:G13)</f>
        <v>10954.79125</v>
      </c>
    </row>
    <row r="16" spans="1:7" ht="13.5" thickBot="1" x14ac:dyDescent="0.25">
      <c r="A16" s="39"/>
      <c r="B16" s="40"/>
      <c r="C16" s="40"/>
      <c r="D16" s="40"/>
      <c r="E16" s="40"/>
      <c r="F16" s="40"/>
      <c r="G16" s="41"/>
    </row>
    <row r="17" spans="1:7" ht="18.75" customHeight="1" thickBot="1" x14ac:dyDescent="0.25">
      <c r="A17" s="161" t="s">
        <v>143</v>
      </c>
      <c r="B17" s="161"/>
      <c r="C17" s="161"/>
      <c r="D17" s="161"/>
      <c r="E17" s="161"/>
      <c r="F17" s="161"/>
      <c r="G17" s="161"/>
    </row>
    <row r="18" spans="1:7" x14ac:dyDescent="0.2">
      <c r="A18" s="42" t="s">
        <v>4</v>
      </c>
      <c r="B18" s="162" t="s">
        <v>144</v>
      </c>
      <c r="C18" s="162"/>
      <c r="D18" s="162"/>
      <c r="E18" s="162"/>
      <c r="F18" s="162"/>
      <c r="G18" s="43">
        <f>G15</f>
        <v>10954.79125</v>
      </c>
    </row>
    <row r="19" spans="1:7" ht="13.5" thickBot="1" x14ac:dyDescent="0.25">
      <c r="A19" s="38" t="s">
        <v>6</v>
      </c>
      <c r="B19" s="163" t="s">
        <v>145</v>
      </c>
      <c r="C19" s="163"/>
      <c r="D19" s="163"/>
      <c r="E19" s="163"/>
      <c r="F19" s="163"/>
      <c r="G19" s="44">
        <v>24</v>
      </c>
    </row>
    <row r="20" spans="1:7" ht="13.5" thickBot="1" x14ac:dyDescent="0.25">
      <c r="A20" s="45" t="s">
        <v>8</v>
      </c>
      <c r="B20" s="164" t="s">
        <v>146</v>
      </c>
      <c r="C20" s="164"/>
      <c r="D20" s="164"/>
      <c r="E20" s="164"/>
      <c r="F20" s="164"/>
      <c r="G20" s="46">
        <f>G15*G19</f>
        <v>262914.99</v>
      </c>
    </row>
  </sheetData>
  <mergeCells count="22">
    <mergeCell ref="A15:F15"/>
    <mergeCell ref="A17:G17"/>
    <mergeCell ref="B18:F18"/>
    <mergeCell ref="B19:F19"/>
    <mergeCell ref="B20:F20"/>
    <mergeCell ref="B9:E9"/>
    <mergeCell ref="F9:G9"/>
    <mergeCell ref="B10:E10"/>
    <mergeCell ref="F10:G10"/>
    <mergeCell ref="A11:G11"/>
    <mergeCell ref="A5:G5"/>
    <mergeCell ref="A6:G6"/>
    <mergeCell ref="B7:E7"/>
    <mergeCell ref="F7:G7"/>
    <mergeCell ref="B8:E8"/>
    <mergeCell ref="F8:G8"/>
    <mergeCell ref="A1:G1"/>
    <mergeCell ref="A2:G2"/>
    <mergeCell ref="A3:E3"/>
    <mergeCell ref="F3:G3"/>
    <mergeCell ref="A4:E4"/>
    <mergeCell ref="F4:G4"/>
  </mergeCells>
  <pageMargins left="0.51180555555555496" right="0.51180555555555496" top="0.78749999999999998" bottom="0.78749999999999998" header="0.51180555555555496" footer="0.51180555555555496"/>
  <pageSetup paperSize="9" scale="7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COPEIRAGEM</vt:lpstr>
      <vt:lpstr>INSUMOS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de Rosso Bolzan</dc:creator>
  <cp:lastModifiedBy>Eduarda Campos Garcia</cp:lastModifiedBy>
  <cp:revision>4</cp:revision>
  <cp:lastPrinted>2019-05-14T18:48:33Z</cp:lastPrinted>
  <dcterms:created xsi:type="dcterms:W3CDTF">2018-02-21T17:13:10Z</dcterms:created>
  <dcterms:modified xsi:type="dcterms:W3CDTF">2026-02-04T12:43:26Z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